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 windowWidth="19200" windowHeight="6375" activeTab="2"/>
  </bookViews>
  <sheets>
    <sheet name="VonNSDP 2018" sheetId="20" r:id="rId1"/>
    <sheet name="TC.ĐM 2016-2020(không in)" sheetId="21" r:id="rId2"/>
    <sheet name="Phân bổ vốn(không in)" sheetId="22" r:id="rId3"/>
    <sheet name="ODAKH NSNN" sheetId="4" state="hidden" r:id="rId4"/>
    <sheet name="NC07 TH TPCP" sheetId="5" state="hidden" r:id="rId5"/>
    <sheet name="NC08 TPCP KH" sheetId="6" state="hidden" r:id="rId6"/>
    <sheet name="NC11 PPP" sheetId="7" state="hidden" r:id="rId7"/>
    <sheet name="BM18 BC nam DP" sheetId="8" state="hidden" r:id="rId8"/>
    <sheet name="Quy2THDP" sheetId="10" state="hidden" r:id="rId9"/>
    <sheet name="Quy2TPCPDP" sheetId="12" state="hidden" r:id="rId10"/>
    <sheet name="Quy2von khac Dp" sheetId="14" state="hidden" r:id="rId11"/>
  </sheets>
  <externalReferences>
    <externalReference r:id="rId12"/>
  </externalReferences>
  <definedNames>
    <definedName name="____a1" localSheetId="2" hidden="1">{"'Sheet1'!$L$16"}</definedName>
    <definedName name="____a1" localSheetId="1" hidden="1">{"'Sheet1'!$L$16"}</definedName>
    <definedName name="____a1" hidden="1">{"'Sheet1'!$L$16"}</definedName>
    <definedName name="____B1" localSheetId="2" hidden="1">{"'Sheet1'!$L$16"}</definedName>
    <definedName name="____B1" localSheetId="1" hidden="1">{"'Sheet1'!$L$16"}</definedName>
    <definedName name="____B1" hidden="1">{"'Sheet1'!$L$16"}</definedName>
    <definedName name="____ban2" localSheetId="2" hidden="1">{"'Sheet1'!$L$16"}</definedName>
    <definedName name="____ban2" localSheetId="1" hidden="1">{"'Sheet1'!$L$16"}</definedName>
    <definedName name="____ban2" hidden="1">{"'Sheet1'!$L$16"}</definedName>
    <definedName name="____h1" localSheetId="2" hidden="1">{"'Sheet1'!$L$16"}</definedName>
    <definedName name="____h1" localSheetId="1" hidden="1">{"'Sheet1'!$L$16"}</definedName>
    <definedName name="____h1" hidden="1">{"'Sheet1'!$L$16"}</definedName>
    <definedName name="____hu1" localSheetId="2" hidden="1">{"'Sheet1'!$L$16"}</definedName>
    <definedName name="____hu1" localSheetId="1" hidden="1">{"'Sheet1'!$L$16"}</definedName>
    <definedName name="____hu1" hidden="1">{"'Sheet1'!$L$16"}</definedName>
    <definedName name="____hu2" localSheetId="2" hidden="1">{"'Sheet1'!$L$16"}</definedName>
    <definedName name="____hu2" localSheetId="1" hidden="1">{"'Sheet1'!$L$16"}</definedName>
    <definedName name="____hu2" hidden="1">{"'Sheet1'!$L$16"}</definedName>
    <definedName name="____hu5" localSheetId="2" hidden="1">{"'Sheet1'!$L$16"}</definedName>
    <definedName name="____hu5" localSheetId="1" hidden="1">{"'Sheet1'!$L$16"}</definedName>
    <definedName name="____hu5" hidden="1">{"'Sheet1'!$L$16"}</definedName>
    <definedName name="____hu6" localSheetId="2" hidden="1">{"'Sheet1'!$L$16"}</definedName>
    <definedName name="____hu6" localSheetId="1" hidden="1">{"'Sheet1'!$L$16"}</definedName>
    <definedName name="____hu6" hidden="1">{"'Sheet1'!$L$16"}</definedName>
    <definedName name="____M36" localSheetId="2" hidden="1">{"'Sheet1'!$L$16"}</definedName>
    <definedName name="____M36" localSheetId="1" hidden="1">{"'Sheet1'!$L$16"}</definedName>
    <definedName name="____M36" hidden="1">{"'Sheet1'!$L$16"}</definedName>
    <definedName name="____NSO2" localSheetId="2" hidden="1">{"'Sheet1'!$L$16"}</definedName>
    <definedName name="____NSO2" hidden="1">{"'Sheet1'!$L$16"}</definedName>
    <definedName name="____PA3" localSheetId="2" hidden="1">{"'Sheet1'!$L$16"}</definedName>
    <definedName name="____PA3" localSheetId="1" hidden="1">{"'Sheet1'!$L$16"}</definedName>
    <definedName name="____PA3" hidden="1">{"'Sheet1'!$L$16"}</definedName>
    <definedName name="____Pl2" localSheetId="2" hidden="1">{"'Sheet1'!$L$16"}</definedName>
    <definedName name="____Pl2" localSheetId="1" hidden="1">{"'Sheet1'!$L$16"}</definedName>
    <definedName name="____Pl2" hidden="1">{"'Sheet1'!$L$16"}</definedName>
    <definedName name="____Tru21" localSheetId="2" hidden="1">{"'Sheet1'!$L$16"}</definedName>
    <definedName name="____Tru21" localSheetId="1" hidden="1">{"'Sheet1'!$L$16"}</definedName>
    <definedName name="____Tru21" hidden="1">{"'Sheet1'!$L$16"}</definedName>
    <definedName name="___a1" localSheetId="2" hidden="1">{"'Sheet1'!$L$16"}</definedName>
    <definedName name="___a1" localSheetId="1" hidden="1">{"'Sheet1'!$L$16"}</definedName>
    <definedName name="___a1" hidden="1">{"'Sheet1'!$L$16"}</definedName>
    <definedName name="___B1" localSheetId="2" hidden="1">{"'Sheet1'!$L$16"}</definedName>
    <definedName name="___B1" localSheetId="1" hidden="1">{"'Sheet1'!$L$16"}</definedName>
    <definedName name="___B1" hidden="1">{"'Sheet1'!$L$16"}</definedName>
    <definedName name="___ban2" localSheetId="2" hidden="1">{"'Sheet1'!$L$16"}</definedName>
    <definedName name="___ban2" localSheetId="1" hidden="1">{"'Sheet1'!$L$16"}</definedName>
    <definedName name="___ban2" hidden="1">{"'Sheet1'!$L$16"}</definedName>
    <definedName name="___boi1">#REF!</definedName>
    <definedName name="___boi2">#REF!</definedName>
    <definedName name="___boi3">#REF!</definedName>
    <definedName name="___boi4">#REF!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ao1">#REF!</definedName>
    <definedName name="___dbu1">#REF!</definedName>
    <definedName name="___dbu2">#REF!</definedName>
    <definedName name="___ddn400">#REF!</definedName>
    <definedName name="___ddn600">#REF!</definedName>
    <definedName name="___gon4">#REF!</definedName>
    <definedName name="___h1" localSheetId="2" hidden="1">{"'Sheet1'!$L$16"}</definedName>
    <definedName name="___h1" localSheetId="1" hidden="1">{"'Sheet1'!$L$16"}</definedName>
    <definedName name="___h1" hidden="1">{"'Sheet1'!$L$16"}</definedName>
    <definedName name="___hsm2">1.1289</definedName>
    <definedName name="___hu1" localSheetId="2" hidden="1">{"'Sheet1'!$L$16"}</definedName>
    <definedName name="___hu1" localSheetId="1" hidden="1">{"'Sheet1'!$L$16"}</definedName>
    <definedName name="___hu1" hidden="1">{"'Sheet1'!$L$16"}</definedName>
    <definedName name="___hu2" localSheetId="2" hidden="1">{"'Sheet1'!$L$16"}</definedName>
    <definedName name="___hu2" localSheetId="1" hidden="1">{"'Sheet1'!$L$16"}</definedName>
    <definedName name="___hu2" hidden="1">{"'Sheet1'!$L$16"}</definedName>
    <definedName name="___hu5" localSheetId="2" hidden="1">{"'Sheet1'!$L$16"}</definedName>
    <definedName name="___hu5" localSheetId="1" hidden="1">{"'Sheet1'!$L$16"}</definedName>
    <definedName name="___hu5" hidden="1">{"'Sheet1'!$L$16"}</definedName>
    <definedName name="___hu6" localSheetId="2"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p1">#REF!</definedName>
    <definedName name="___lap2">#REF!</definedName>
    <definedName name="___M36" localSheetId="2" hidden="1">{"'Sheet1'!$L$16"}</definedName>
    <definedName name="___M36" localSheetId="1" hidden="1">{"'Sheet1'!$L$16"}</definedName>
    <definedName name="___M36" hidden="1">{"'Sheet1'!$L$16"}</definedName>
    <definedName name="___MAC12">#REF!</definedName>
    <definedName name="___MAC46">#REF!</definedName>
    <definedName name="___NET2">#REF!</definedName>
    <definedName name="___NSO2" localSheetId="2" hidden="1">{"'Sheet1'!$L$16"}</definedName>
    <definedName name="___NSO2" localSheetId="1" hidden="1">{"'Sheet1'!$L$16"}</definedName>
    <definedName name="___NSO2" hidden="1">{"'Sheet1'!$L$16"}</definedName>
    <definedName name="___PA3" localSheetId="2" hidden="1">{"'Sheet1'!$L$16"}</definedName>
    <definedName name="___PA3" localSheetId="1" hidden="1">{"'Sheet1'!$L$16"}</definedName>
    <definedName name="___PA3" hidden="1">{"'Sheet1'!$L$16"}</definedName>
    <definedName name="___PL1242">#REF!</definedName>
    <definedName name="___Pl2" localSheetId="2" hidden="1">{"'Sheet1'!$L$16"}</definedName>
    <definedName name="___Pl2" localSheetId="1" hidden="1">{"'Sheet1'!$L$16"}</definedName>
    <definedName name="___Pl2" hidden="1">{"'Sheet1'!$L$16"}</definedName>
    <definedName name="___PL3" hidden="1">#REF!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H1">#REF!</definedName>
    <definedName name="___TH2">#REF!</definedName>
    <definedName name="___TH3">#REF!</definedName>
    <definedName name="___Tru21" localSheetId="2" hidden="1">{"'Sheet1'!$L$16"}</definedName>
    <definedName name="___Tru21" localSheetId="1" hidden="1">{"'Sheet1'!$L$16"}</definedName>
    <definedName name="___Tru21" hidden="1">{"'Sheet1'!$L$16"}</definedName>
    <definedName name="___vc1">#REF!</definedName>
    <definedName name="___vc2">#REF!</definedName>
    <definedName name="___vc3">#REF!</definedName>
    <definedName name="___vl2" localSheetId="2" hidden="1">{"'Sheet1'!$L$16"}</definedName>
    <definedName name="___vl2" hidden="1">{"'Sheet1'!$L$16"}</definedName>
    <definedName name="__a1" localSheetId="2" hidden="1">{"'Sheet1'!$L$16"}</definedName>
    <definedName name="__a1" localSheetId="1" hidden="1">{"'Sheet1'!$L$16"}</definedName>
    <definedName name="__a1" hidden="1">{"'Sheet1'!$L$16"}</definedName>
    <definedName name="__B1" localSheetId="2" hidden="1">{"'Sheet1'!$L$16"}</definedName>
    <definedName name="__B1" localSheetId="1" hidden="1">{"'Sheet1'!$L$16"}</definedName>
    <definedName name="__B1" hidden="1">{"'Sheet1'!$L$16"}</definedName>
    <definedName name="__ban2" localSheetId="2" hidden="1">{"'Sheet1'!$L$16"}</definedName>
    <definedName name="__ban2" localSheetId="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1" localSheetId="2" hidden="1">{"'Sheet1'!$L$16"}</definedName>
    <definedName name="__h1" localSheetId="1" hidden="1">{"'Sheet1'!$L$16"}</definedName>
    <definedName name="__h1" hidden="1">{"'Sheet1'!$L$16"}</definedName>
    <definedName name="__hom2">#REF!</definedName>
    <definedName name="__hsm2">1.1289</definedName>
    <definedName name="__hu1" localSheetId="2" hidden="1">{"'Sheet1'!$L$16"}</definedName>
    <definedName name="__hu1" localSheetId="1" hidden="1">{"'Sheet1'!$L$16"}</definedName>
    <definedName name="__hu1" hidden="1">{"'Sheet1'!$L$16"}</definedName>
    <definedName name="__hu2" localSheetId="2" hidden="1">{"'Sheet1'!$L$16"}</definedName>
    <definedName name="__hu2" localSheetId="1" hidden="1">{"'Sheet1'!$L$16"}</definedName>
    <definedName name="__hu2" hidden="1">{"'Sheet1'!$L$16"}</definedName>
    <definedName name="__hu5" localSheetId="2" hidden="1">{"'Sheet1'!$L$16"}</definedName>
    <definedName name="__hu5" localSheetId="1" hidden="1">{"'Sheet1'!$L$16"}</definedName>
    <definedName name="__hu5" hidden="1">{"'Sheet1'!$L$16"}</definedName>
    <definedName name="__hu6" localSheetId="2" hidden="1">{"'Sheet1'!$L$16"}</definedName>
    <definedName name="__hu6" localSheetId="1" hidden="1">{"'Sheet1'!$L$16"}</definedName>
    <definedName name="__hu6" hidden="1">{"'Sheet1'!$L$16"}</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36" localSheetId="2" hidden="1">{"'Sheet1'!$L$16"}</definedName>
    <definedName name="__M36" localSheetId="1"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2" hidden="1">{"'Sheet1'!$L$16"}</definedName>
    <definedName name="__NSO2" localSheetId="1" hidden="1">{"'Sheet1'!$L$16"}</definedName>
    <definedName name="__NSO2" hidden="1">{"'Sheet1'!$L$16"}</definedName>
    <definedName name="__PA3" localSheetId="2" hidden="1">{"'Sheet1'!$L$16"}</definedName>
    <definedName name="__PA3" localSheetId="1" hidden="1">{"'Sheet1'!$L$16"}</definedName>
    <definedName name="__PA3" hidden="1">{"'Sheet1'!$L$16"}</definedName>
    <definedName name="__PL1242">#REF!</definedName>
    <definedName name="__Pl2" localSheetId="2" hidden="1">{"'Sheet1'!$L$16"}</definedName>
    <definedName name="__Pl2" localSheetId="1" hidden="1">{"'Sheet1'!$L$16"}</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H1">#REF!</definedName>
    <definedName name="__TH2">#REF!</definedName>
    <definedName name="__TH3">#REF!</definedName>
    <definedName name="__Tru21" localSheetId="2" hidden="1">{"'Sheet1'!$L$16"}</definedName>
    <definedName name="__Tru21" localSheetId="1" hidden="1">{"'Sheet1'!$L$16"}</definedName>
    <definedName name="__Tru21" hidden="1">{"'Sheet1'!$L$16"}</definedName>
    <definedName name="__vc1">#REF!</definedName>
    <definedName name="__vc2">#REF!</definedName>
    <definedName name="__vc3">#REF!</definedName>
    <definedName name="__VL100">#REF!</definedName>
    <definedName name="__vl2" localSheetId="2" hidden="1">{"'Sheet1'!$L$16"}</definedName>
    <definedName name="__vl2" hidden="1">{"'Sheet1'!$L$16"}</definedName>
    <definedName name="__VL250">#REF!</definedName>
    <definedName name="_1">#N/A</definedName>
    <definedName name="_1000A01">#N/A</definedName>
    <definedName name="_2">#N/A</definedName>
    <definedName name="_40x4">5100</definedName>
    <definedName name="_a1" localSheetId="2" hidden="1">{"'Sheet1'!$L$16"}</definedName>
    <definedName name="_a1" localSheetId="1" hidden="1">{"'Sheet1'!$L$16"}</definedName>
    <definedName name="_a1" hidden="1">{"'Sheet1'!$L$16"}</definedName>
    <definedName name="_B1" localSheetId="2" hidden="1">{"'Sheet1'!$L$16"}</definedName>
    <definedName name="_B1" localSheetId="1" hidden="1">{"'Sheet1'!$L$16"}</definedName>
    <definedName name="_B1" hidden="1">{"'Sheet1'!$L$16"}</definedName>
    <definedName name="_ban2" localSheetId="2" hidden="1">{"'Sheet1'!$L$16"}</definedName>
    <definedName name="_ban2" localSheetId="1" hidden="1">{"'Sheet1'!$L$16"}</definedName>
    <definedName name="_ban2"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localSheetId="2" hidden="1">#REF!</definedName>
    <definedName name="_Fill" localSheetId="1" hidden="1">#REF!</definedName>
    <definedName name="_Fill" hidden="1">#REF!</definedName>
    <definedName name="_xlnm._FilterDatabase" localSheetId="2" hidden="1">#REF!</definedName>
    <definedName name="_xlnm._FilterDatabase" localSheetId="1" hidden="1">#REF!</definedName>
    <definedName name="_xlnm._FilterDatabase" localSheetId="0" hidden="1">'VonNSDP 2018'!$13:$506</definedName>
    <definedName name="_xlnm._FilterDatabase" hidden="1">#REF!</definedName>
    <definedName name="_ftn1" localSheetId="8">Quy2THDP!#REF!</definedName>
    <definedName name="_ftnref1" localSheetId="8">Quy2THDP!$E$10</definedName>
    <definedName name="_gon4">#REF!</definedName>
    <definedName name="_h1" localSheetId="2" hidden="1">{"'Sheet1'!$L$16"}</definedName>
    <definedName name="_h1" localSheetId="1" hidden="1">{"'Sheet1'!$L$16"}</definedName>
    <definedName name="_h1" hidden="1">{"'Sheet1'!$L$16"}</definedName>
    <definedName name="_hom2">#REF!</definedName>
    <definedName name="_hsm2">1.1289</definedName>
    <definedName name="_hu1" localSheetId="2" hidden="1">{"'Sheet1'!$L$16"}</definedName>
    <definedName name="_hu1" localSheetId="1" hidden="1">{"'Sheet1'!$L$16"}</definedName>
    <definedName name="_hu1" hidden="1">{"'Sheet1'!$L$16"}</definedName>
    <definedName name="_hu2" localSheetId="2" hidden="1">{"'Sheet1'!$L$16"}</definedName>
    <definedName name="_hu2" localSheetId="1" hidden="1">{"'Sheet1'!$L$16"}</definedName>
    <definedName name="_hu2" hidden="1">{"'Sheet1'!$L$16"}</definedName>
    <definedName name="_hu5" localSheetId="2" hidden="1">{"'Sheet1'!$L$16"}</definedName>
    <definedName name="_hu5" localSheetId="1" hidden="1">{"'Sheet1'!$L$16"}</definedName>
    <definedName name="_hu5" hidden="1">{"'Sheet1'!$L$16"}</definedName>
    <definedName name="_hu6" localSheetId="2"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1" hidden="1">#REF!</definedName>
    <definedName name="_Key1" hidden="1">#REF!</definedName>
    <definedName name="_Key2" localSheetId="2" hidden="1">#REF!</definedName>
    <definedName name="_Key2" localSheetId="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36" localSheetId="2" hidden="1">{"'Sheet1'!$L$16"}</definedName>
    <definedName name="_M36" localSheetId="1" hidden="1">{"'Sheet1'!$L$16"}</definedName>
    <definedName name="_M36" hidden="1">{"'Sheet1'!$L$16"}</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localSheetId="2" hidden="1">{"'Sheet1'!$L$16"}</definedName>
    <definedName name="_NSO2" localSheetId="1" hidden="1">{"'Sheet1'!$L$16"}</definedName>
    <definedName name="_NSO2" hidden="1">{"'Sheet1'!$L$16"}</definedName>
    <definedName name="_Order1" hidden="1">255</definedName>
    <definedName name="_Order2" hidden="1">255</definedName>
    <definedName name="_PA3" localSheetId="2" hidden="1">{"'Sheet1'!$L$16"}</definedName>
    <definedName name="_PA3" localSheetId="1" hidden="1">{"'Sheet1'!$L$16"}</definedName>
    <definedName name="_PA3" hidden="1">{"'Sheet1'!$L$16"}</definedName>
    <definedName name="_PL1242">#REF!</definedName>
    <definedName name="_Pl2" localSheetId="2" hidden="1">{"'Sheet1'!$L$16"}</definedName>
    <definedName name="_Pl2" localSheetId="1" hidden="1">{"'Sheet1'!$L$16"}</definedName>
    <definedName name="_Pl2" hidden="1">{"'Sheet1'!$L$16"}</definedName>
    <definedName name="_PL3" localSheetId="2" hidden="1">#REF!</definedName>
    <definedName name="_PL3" localSheetId="1" hidden="1">#REF!</definedName>
    <definedName name="_PL3" hidden="1">#REF!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localSheetId="2" hidden="1">#REF!</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sua20">#REF!</definedName>
    <definedName name="_sua30">#REF!</definedName>
    <definedName name="_TB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H1">#REF!</definedName>
    <definedName name="_TH2">#REF!</definedName>
    <definedName name="_TH3">#REF!</definedName>
    <definedName name="_Tru21" localSheetId="2" hidden="1">{"'Sheet1'!$L$16"}</definedName>
    <definedName name="_Tru21" localSheetId="1" hidden="1">{"'Sheet1'!$L$16"}</definedName>
    <definedName name="_Tru21" hidden="1">{"'Sheet1'!$L$16"}</definedName>
    <definedName name="_vc1">#REF!</definedName>
    <definedName name="_vc2">#REF!</definedName>
    <definedName name="_vc3">#REF!</definedName>
    <definedName name="_VL100">#REF!</definedName>
    <definedName name="_vl2" localSheetId="2" hidden="1">{"'Sheet1'!$L$16"}</definedName>
    <definedName name="_vl2" hidden="1">{"'Sheet1'!$L$16"}</definedName>
    <definedName name="_VL250">#REF!</definedName>
    <definedName name="a" localSheetId="2" hidden="1">{"'Sheet1'!$L$16"}</definedName>
    <definedName name="a" localSheetId="1"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localSheetId="2">#REF!</definedName>
    <definedName name="abc" localSheetId="1">#REF!</definedName>
    <definedName name="ABC" hidden="1">#REF!</definedName>
    <definedName name="AC120_">#REF!</definedName>
    <definedName name="AC35_">#REF!</definedName>
    <definedName name="AC50_">#REF!</definedName>
    <definedName name="AC70_">#REF!</definedName>
    <definedName name="AC95_">#REF!</definedName>
    <definedName name="All_Item">#REF!</definedName>
    <definedName name="ALPIN">#N/A</definedName>
    <definedName name="ALPJYOU">#N/A</definedName>
    <definedName name="ALPTOI">#N/A</definedName>
    <definedName name="anpha">#REF!</definedName>
    <definedName name="anscount" hidden="1">3</definedName>
    <definedName name="ATGT" localSheetId="2" hidden="1">{"'Sheet1'!$L$16"}</definedName>
    <definedName name="ATGT" localSheetId="1" hidden="1">{"'Sheet1'!$L$16"}</definedName>
    <definedName name="ATGT" hidden="1">{"'Sheet1'!$L$16"}</definedName>
    <definedName name="B.nuamat">7.25</definedName>
    <definedName name="b_240">#REF!</definedName>
    <definedName name="b_280">#REF!</definedName>
    <definedName name="b_320">#REF!</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lkh">#REF!</definedName>
    <definedName name="blkh1">#REF!</definedName>
    <definedName name="Bm">3.5</definedName>
    <definedName name="Bn">6.5</definedName>
    <definedName name="Book2">#REF!</definedName>
    <definedName name="BOQ">#REF!</definedName>
    <definedName name="BT">#REF!</definedName>
    <definedName name="btcocM400">#REF!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SYU">#N/A</definedName>
    <definedName name="catvang">#REF!</definedName>
    <definedName name="CATREC">#N/A</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auN" localSheetId="2" hidden="1">{"'Sheet1'!$L$16"}</definedName>
    <definedName name="CoCauN" localSheetId="1" hidden="1">{"'Sheet1'!$L$16"}</definedName>
    <definedName name="CoCauN" hidden="1">{"'Sheet1'!$L$16"}</definedName>
    <definedName name="cocbtct">#REF!</definedName>
    <definedName name="cocot">#REF!</definedName>
    <definedName name="cocott">#REF!</definedName>
    <definedName name="Code" localSheetId="2" hidden="1">#REF!</definedName>
    <definedName name="Code" localSheetId="1" hidden="1">#REF!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localSheetId="2" hidden="1">#REF!</definedName>
    <definedName name="CP" localSheetId="1" hidden="1">#REF!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2" hidden="1">{"'Sheet1'!$L$16"}</definedName>
    <definedName name="CTCT1" localSheetId="1"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#REF!</definedName>
    <definedName name="chitietbgiang2" localSheetId="2" hidden="1">{"'Sheet1'!$L$16"}</definedName>
    <definedName name="chitietbgiang2" localSheetId="1" hidden="1">{"'Sheet1'!$L$16"}</definedName>
    <definedName name="chitietbgiang2" hidden="1">{"'Sheet1'!$L$16"}</definedName>
    <definedName name="chon">#REF!</definedName>
    <definedName name="chon1">#REF!</definedName>
    <definedName name="chon2">#REF!</definedName>
    <definedName name="chon3">#REF!</definedName>
    <definedName name="chung">66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localSheetId="2" hidden="1">#REF!</definedName>
    <definedName name="data1" localSheetId="1" hidden="1">#REF!</definedName>
    <definedName name="data1" hidden="1">#REF!</definedName>
    <definedName name="data2" localSheetId="2" hidden="1">#REF!</definedName>
    <definedName name="data2" localSheetId="1" hidden="1">#REF!</definedName>
    <definedName name="data2" hidden="1">#REF!</definedName>
    <definedName name="data3" localSheetId="2" hidden="1">#REF!</definedName>
    <definedName name="data3" localSheetId="1" hidden="1">#REF!</definedName>
    <definedName name="data3" hidden="1">#REF!</definedName>
    <definedName name="_xlnm.Database">#REF!</definedName>
    <definedName name="DCL_22">12117600</definedName>
    <definedName name="DCL_35">25490000</definedName>
    <definedName name="DD">#REF!</definedName>
    <definedName name="DDAY">#REF!</definedName>
    <definedName name="dddem">0.1</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iscount" localSheetId="2" hidden="1">#REF!</definedName>
    <definedName name="Discount" localSheetId="1" hidden="1">#REF!</definedName>
    <definedName name="Discount" hidden="1">#REF!</definedName>
    <definedName name="display_area_2" localSheetId="2" hidden="1">#REF!</definedName>
    <definedName name="display_area_2" localSheetId="1"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2">{"Thuxm2.xls","Sheet1"}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cong">1</definedName>
    <definedName name="drf" hidden="1">#REF!</definedName>
    <definedName name="ds" localSheetId="2" hidden="1">{#N/A,#N/A,FALSE,"Chi tiÆt"}</definedName>
    <definedName name="ds" localSheetId="1" hidden="1">{#N/A,#N/A,FALSE,"Chi tiÆt"}</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h" localSheetId="2" hidden="1">#REF!</definedName>
    <definedName name="dsh" localSheetId="1"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FCode" localSheetId="2" hidden="1">#REF!</definedName>
    <definedName name="FCode" localSheetId="1" hidden="1">#REF!</definedName>
    <definedName name="FCode" hidden="1">#REF!</definedName>
    <definedName name="FI_12">4820</definedName>
    <definedName name="g" localSheetId="2" hidden="1">{"'Sheet1'!$L$16"}</definedName>
    <definedName name="g" localSheetId="1" hidden="1">{"'Sheet1'!$L$16"}</definedName>
    <definedName name="g" hidden="1">{"'Sheet1'!$L$16"}</definedName>
    <definedName name="G_ME">#REF!</definedName>
    <definedName name="gach">#REF!</definedName>
    <definedName name="geo">#REF!</definedName>
    <definedName name="gg">#REF!</definedName>
    <definedName name="ghip">#REF!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localSheetId="2" hidden="1">{"'Sheet1'!$L$16"}</definedName>
    <definedName name="h" localSheetId="1" hidden="1">{"'Sheet1'!$L$16"}</definedName>
    <definedName name="h" hidden="1">{"'Sheet1'!$L$16"}</definedName>
    <definedName name="H_THUCTT">#REF!</definedName>
    <definedName name="H_THUCHTHH">#REF!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ddenRows" localSheetId="2" hidden="1">#REF!</definedName>
    <definedName name="HiddenRows" localSheetId="1" hidden="1">#REF!</definedName>
    <definedName name="HiddenRows" hidden="1">#REF!</definedName>
    <definedName name="hien">#REF!</definedName>
    <definedName name="Hinh_thuc">#REF!</definedName>
    <definedName name="HiÕu">#REF!</definedName>
    <definedName name="hoc">55000</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1</definedName>
    <definedName name="hsvl2">1</definedName>
    <definedName name="HT">#REF!</definedName>
    <definedName name="htlm" localSheetId="2" hidden="1">{"'Sheet1'!$L$16"}</definedName>
    <definedName name="htlm" localSheetId="1" hidden="1">{"'Sheet1'!$L$16"}</definedName>
    <definedName name="htlm" hidden="1">{"'Sheet1'!$L$16"}</definedName>
    <definedName name="HTML_CodePage" hidden="1">950</definedName>
    <definedName name="HTML_Control" localSheetId="2"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THH">#REF!</definedName>
    <definedName name="hu" localSheetId="2" hidden="1">{"'Sheet1'!$L$16"}</definedName>
    <definedName name="hu" localSheetId="1" hidden="1">{"'Sheet1'!$L$16"}</definedName>
    <definedName name="hu" hidden="1">{"'Sheet1'!$L$16"}</definedName>
    <definedName name="HUU" localSheetId="2" hidden="1">{"'Sheet1'!$L$16"}</definedName>
    <definedName name="HUU" localSheetId="1" hidden="1">{"'Sheet1'!$L$16"}</definedName>
    <definedName name="HUU" hidden="1">{"'Sheet1'!$L$16"}</definedName>
    <definedName name="huy" localSheetId="2" hidden="1">{"'Sheet1'!$L$16"}</definedName>
    <definedName name="huy" localSheetId="1" hidden="1">{"'Sheet1'!$L$16"}</definedName>
    <definedName name="huy" hidden="1">{"'Sheet1'!$L$16"}</definedName>
    <definedName name="I">#REF!</definedName>
    <definedName name="IDLAB_COST">#REF!</definedName>
    <definedName name="IND_LAB">#REF!</definedName>
    <definedName name="INDMANP">#REF!</definedName>
    <definedName name="j" localSheetId="2" hidden="1">{"'Sheet1'!$L$16"}</definedName>
    <definedName name="j" localSheetId="1" hidden="1">{"'Sheet1'!$L$16"}</definedName>
    <definedName name="j" hidden="1">{"'Sheet1'!$L$16"}</definedName>
    <definedName name="j356C8">#REF!</definedName>
    <definedName name="k" localSheetId="2" hidden="1">{"'Sheet1'!$L$16"}</definedName>
    <definedName name="k" localSheetId="1" hidden="1">{"'Sheet1'!$L$16"}</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bn" localSheetId="2" hidden="1">{"'Sheet1'!$L$16"}</definedName>
    <definedName name="ksbn" localSheetId="1" hidden="1">{"'Sheet1'!$L$16"}</definedName>
    <definedName name="ksbn" hidden="1">{"'Sheet1'!$L$16"}</definedName>
    <definedName name="kshn" localSheetId="2" hidden="1">{"'Sheet1'!$L$16"}</definedName>
    <definedName name="kshn" localSheetId="1" hidden="1">{"'Sheet1'!$L$16"}</definedName>
    <definedName name="kshn" hidden="1">{"'Sheet1'!$L$16"}</definedName>
    <definedName name="ksls" localSheetId="2" hidden="1">{"'Sheet1'!$L$16"}</definedName>
    <definedName name="ksls" localSheetId="1" hidden="1">{"'Sheet1'!$L$16"}</definedName>
    <definedName name="ksls" hidden="1">{"'Sheet1'!$L$16"}</definedName>
    <definedName name="KSTK">#REF!</definedName>
    <definedName name="KH_Chang">#REF!</definedName>
    <definedName name="khac">2</definedName>
    <definedName name="KHOI_LUONG_DAT_DAO_DAP">#REF!</definedName>
    <definedName name="khongtruotgia" localSheetId="2" hidden="1">{"'Sheet1'!$L$16"}</definedName>
    <definedName name="khongtruotgia" localSheetId="1" hidden="1">{"'Sheet1'!$L$16"}</definedName>
    <definedName name="khongtruotgia" hidden="1">{"'Sheet1'!$L$16"}</definedName>
    <definedName name="l" localSheetId="2" hidden="1">{"'Sheet1'!$L$16"}</definedName>
    <definedName name="l" localSheetId="1" hidden="1">{"'Sheet1'!$L$16"}</definedName>
    <definedName name="l" hidden="1">{"'Sheet1'!$L$16"}</definedName>
    <definedName name="L_mong">#REF!</definedName>
    <definedName name="L63x6">5800</definedName>
    <definedName name="lan" localSheetId="2" hidden="1">{#N/A,#N/A,TRUE,"BT M200 da 10x20"}</definedName>
    <definedName name="lan" hidden="1">{#N/A,#N/A,TRUE,"BT M200 da 10x20"}</definedName>
    <definedName name="langson" localSheetId="2" hidden="1">{"'Sheet1'!$L$16"}</definedName>
    <definedName name="langson" localSheetId="1"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localSheetId="2" hidden="1">#REF!</definedName>
    <definedName name="lk" localSheetId="1" hidden="1">#REF!</definedName>
    <definedName name="lk" hidden="1">#REF!</definedName>
    <definedName name="LK_hathe">#REF!</definedName>
    <definedName name="Lmk">#REF!</definedName>
    <definedName name="lntt">#REF!</definedName>
    <definedName name="Loai_TD">#REF!</definedName>
    <definedName name="m" localSheetId="2" hidden="1">{"'Sheet1'!$L$16"}</definedName>
    <definedName name="m" localSheetId="1"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localSheetId="2" hidden="1">{"'Sheet1'!$L$16"}</definedName>
    <definedName name="mo" localSheetId="1" hidden="1">{"'Sheet1'!$L$16"}</definedName>
    <definedName name="mo" hidden="1">{"'Sheet1'!$L$16"}</definedName>
    <definedName name="moi" localSheetId="2" hidden="1">{"'Sheet1'!$L$16"}</definedName>
    <definedName name="moi" localSheetId="1" hidden="1">{"'Sheet1'!$L$16"}</definedName>
    <definedName name="moi" hidden="1">{"'Sheet1'!$L$16"}</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 localSheetId="2" hidden="1">{"'Sheet1'!$L$16"}</definedName>
    <definedName name="n" localSheetId="1"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x">#REF!</definedName>
    <definedName name="NH">#REF!</definedName>
    <definedName name="nhn">#REF!</definedName>
    <definedName name="NHot">#REF!</definedName>
    <definedName name="nhu">#REF!</definedName>
    <definedName name="nhua">#REF!</definedName>
    <definedName name="nhuad">#REF!</definedName>
    <definedName name="ophom">#REF!</definedName>
    <definedName name="OrderTable" localSheetId="2" hidden="1">#REF!</definedName>
    <definedName name="OrderTable" localSheetId="1" hidden="1">#REF!</definedName>
    <definedName name="OrderTable" hidden="1">#REF!</definedName>
    <definedName name="osc">#REF!</definedName>
    <definedName name="PA">#REF!</definedName>
    <definedName name="PAIII_" localSheetId="2" hidden="1">{"'Sheet1'!$L$16"}</definedName>
    <definedName name="PAIII_" localSheetId="1" hidden="1">{"'Sheet1'!$L$16"}</definedName>
    <definedName name="PAIII_" hidden="1">{"'Sheet1'!$L$16"}</definedName>
    <definedName name="panen">#REF!</definedName>
    <definedName name="PLKL">#REF!</definedName>
    <definedName name="PMS" localSheetId="2" hidden="1">{"'Sheet1'!$L$16"}</definedName>
    <definedName name="PMS" localSheetId="1" hidden="1">{"'Sheet1'!$L$16"}</definedName>
    <definedName name="PMS" hidden="1">{"'Sheet1'!$L$16"}</definedName>
    <definedName name="PRICE">#REF!</definedName>
    <definedName name="PRICE1">#REF!</definedName>
    <definedName name="_xlnm.Print_Area" localSheetId="7">'BM18 BC nam DP'!$A$1:$M$77</definedName>
    <definedName name="_xlnm.Print_Area" localSheetId="4">'NC07 TH TPCP'!$A$1:$U$19</definedName>
    <definedName name="_xlnm.Print_Area" localSheetId="5">'NC08 TPCP KH'!$A$1:$AK$39</definedName>
    <definedName name="_xlnm.Print_Area" localSheetId="6">'NC11 PPP'!$A$1:$Q$19</definedName>
    <definedName name="_xlnm.Print_Area" localSheetId="3">'ODAKH NSNN'!$A$1:$BQ$74</definedName>
    <definedName name="_xlnm.Print_Area" localSheetId="2">'Phân bổ vốn(không in)'!$A$1:$F$81</definedName>
    <definedName name="_xlnm.Print_Area" localSheetId="9">Quy2TPCPDP!$A$1:$P$38</definedName>
    <definedName name="_xlnm.Print_Area" localSheetId="8">Quy2THDP!$A$1:$Q$72</definedName>
    <definedName name="_xlnm.Print_Area" localSheetId="10">'Quy2von khac Dp'!$A$1:$O$38</definedName>
    <definedName name="_xlnm.Print_Area" localSheetId="0">'VonNSDP 2018'!$A$1:$BA$520</definedName>
    <definedName name="_xlnm.Print_Titles" localSheetId="7">'BM18 BC nam DP'!$6:$8</definedName>
    <definedName name="_xlnm.Print_Titles" localSheetId="4">'NC07 TH TPCP'!$6:$9</definedName>
    <definedName name="_xlnm.Print_Titles" localSheetId="5">'NC08 TPCP KH'!$6:$9</definedName>
    <definedName name="_xlnm.Print_Titles" localSheetId="3">'ODAKH NSNN'!$8:$15</definedName>
    <definedName name="_xlnm.Print_Titles" localSheetId="9">Quy2TPCPDP!$8:$12</definedName>
    <definedName name="_xlnm.Print_Titles" localSheetId="8">Quy2THDP!$9:$11</definedName>
    <definedName name="_xlnm.Print_Titles" localSheetId="10">'Quy2von khac Dp'!$7:$11</definedName>
    <definedName name="_xlnm.Print_Titles" localSheetId="1">'TC.ĐM 2016-2020(không in)'!$5:$8</definedName>
    <definedName name="_xlnm.Print_Titles" localSheetId="0">'VonNSDP 2018'!$6:$13</definedName>
    <definedName name="_xlnm.Print_Titles">#N/A</definedName>
    <definedName name="Print_Titles_MI">#REF!</definedName>
    <definedName name="PRINTA">#REF!</definedName>
    <definedName name="PRINTB">#REF!</definedName>
    <definedName name="PRINTC">#REF!</definedName>
    <definedName name="ProdForm" localSheetId="2" hidden="1">#REF!</definedName>
    <definedName name="ProdForm" localSheetId="1" hidden="1">#REF!</definedName>
    <definedName name="ProdForm" hidden="1">#REF!</definedName>
    <definedName name="Product" localSheetId="2" hidden="1">#REF!</definedName>
    <definedName name="Product" localSheetId="1"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2" hidden="1">#REF!</definedName>
    <definedName name="RCArea" localSheetId="1" hidden="1">#REF!</definedName>
    <definedName name="RCArea" hidden="1">#REF!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#REF!</definedName>
    <definedName name="sand">#REF!</definedName>
    <definedName name="SCH">#REF!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anner_Auto_File">"C:\My Documents\tinh cdo.x2a"</definedName>
    <definedName name="SPEC">#REF!</definedName>
    <definedName name="SpecialPrice" localSheetId="2" hidden="1">#REF!</definedName>
    <definedName name="SpecialPrice" localSheetId="1" hidden="1">#REF!</definedName>
    <definedName name="SpecialPrice" hidden="1">#REF!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2" hidden="1">{"'Sheet1'!$L$16"}</definedName>
    <definedName name="t" localSheetId="1" hidden="1">{"'Sheet1'!$L$16"}</definedName>
    <definedName name="t"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xTV">10%</definedName>
    <definedName name="TaxXL">5%</definedName>
    <definedName name="TBA">#REF!</definedName>
    <definedName name="tbl_ProdInfo" localSheetId="2" hidden="1">#REF!</definedName>
    <definedName name="tbl_ProdInfo" localSheetId="1" hidden="1">#REF!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PLRP">#REF!</definedName>
    <definedName name="TT_1P">#REF!</definedName>
    <definedName name="TT_3p">#REF!</definedName>
    <definedName name="TTDD1P">#REF!</definedName>
    <definedName name="TTDKKH">#REF!</definedName>
    <definedName name="ttttt" localSheetId="2" hidden="1">{"'Sheet1'!$L$16"}</definedName>
    <definedName name="ttttt" localSheetId="1" hidden="1">{"'Sheet1'!$L$16"}</definedName>
    <definedName name="ttttt" hidden="1">{"'Sheet1'!$L$16"}</definedName>
    <definedName name="TTTTTTTTT" localSheetId="2" hidden="1">{"'Sheet1'!$L$16"}</definedName>
    <definedName name="TTTTTTTTT" localSheetId="1" hidden="1">{"'Sheet1'!$L$16"}</definedName>
    <definedName name="TTTTTTTTT" hidden="1">{"'Sheet1'!$L$16"}</definedName>
    <definedName name="ttttttttttt" localSheetId="2" hidden="1">{"'Sheet1'!$L$16"}</definedName>
    <definedName name="ttttttttttt" localSheetId="1" hidden="1">{"'Sheet1'!$L$16"}</definedName>
    <definedName name="ttttttttttt" hidden="1">{"'Sheet1'!$L$16"}</definedName>
    <definedName name="tthi">#REF!</definedName>
    <definedName name="ttronmk">#REF!</definedName>
    <definedName name="tuyennhanh" localSheetId="2" hidden="1">{"'Sheet1'!$L$16"}</definedName>
    <definedName name="tuyennhanh" localSheetId="1" hidden="1">{"'Sheet1'!$L$16"}</definedName>
    <definedName name="tuyennhanh" hidden="1">{"'Sheet1'!$L$16"}</definedName>
    <definedName name="tv75nc">#REF!</definedName>
    <definedName name="tv75vl">#REF!</definedName>
    <definedName name="ty_le">#REF!</definedName>
    <definedName name="ty_le_BTN">#REF!</definedName>
    <definedName name="Ty_le1">#REF!</definedName>
    <definedName name="tha" localSheetId="2" hidden="1">{"'Sheet1'!$L$16"}</definedName>
    <definedName name="tha" localSheetId="1" hidden="1">{"'Sheet1'!$L$16"}</definedName>
    <definedName name="tha" hidden="1">{"'Sheet1'!$L$16"}</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e">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u" localSheetId="2" hidden="1">{"'Sheet1'!$L$16"}</definedName>
    <definedName name="u" localSheetId="1" hidden="1">{"'Sheet1'!$L$16"}</definedName>
    <definedName name="u" hidden="1">{"'Sheet1'!$L$16"}</definedName>
    <definedName name="upnoc">#REF!</definedName>
    <definedName name="uu">#REF!</definedName>
    <definedName name="ư" localSheetId="2" hidden="1">{"'Sheet1'!$L$16"}</definedName>
    <definedName name="ư" localSheetId="1" hidden="1">{"'Sheet1'!$L$16"}</definedName>
    <definedName name="ư" hidden="1">{"'Sheet1'!$L$16"}</definedName>
    <definedName name="v" localSheetId="2" hidden="1">{"'Sheet1'!$L$16"}</definedName>
    <definedName name="v" localSheetId="1"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dc">#REF!</definedName>
    <definedName name="vcoto" localSheetId="2" hidden="1">{"'Sheet1'!$L$16"}</definedName>
    <definedName name="vcoto" localSheetId="1" hidden="1">{"'Sheet1'!$L$16"}</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gk">#REF!</definedName>
    <definedName name="vgt">#REF!</definedName>
    <definedName name="Viet" localSheetId="2" hidden="1">{"'Sheet1'!$L$16"}</definedName>
    <definedName name="Viet" localSheetId="1" hidden="1">{"'Sheet1'!$L$16"}</definedName>
    <definedName name="Viet" hidden="1">{"'Sheet1'!$L$16"}</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n.aaa." localSheetId="2" hidden="1">{#N/A,#N/A,FALSE,"Sheet1";#N/A,#N/A,FALSE,"Sheet1";#N/A,#N/A,FALSE,"Sheet1"}</definedName>
    <definedName name="wrn.aaa." localSheetId="1" hidden="1">{#N/A,#N/A,FALSE,"Sheet1";#N/A,#N/A,FALSE,"Sheet1";#N/A,#N/A,FALSE,"Sheet1"}</definedName>
    <definedName name="wrn.aaa." hidden="1">{#N/A,#N/A,FALSE,"Sheet1";#N/A,#N/A,FALSE,"Sheet1";#N/A,#N/A,FALSE,"Sheet1"}</definedName>
    <definedName name="wrn.Bang._.ke._.nhan._.hang." localSheetId="2" hidden="1">{#N/A,#N/A,FALSE,"Ke khai NH"}</definedName>
    <definedName name="wrn.Bang._.ke._.nhan._.hang." hidden="1">{#N/A,#N/A,FALSE,"Ke khai NH"}</definedName>
    <definedName name="wrn.cong." localSheetId="2" hidden="1">{#N/A,#N/A,FALSE,"Sheet1"}</definedName>
    <definedName name="wrn.cong." localSheetId="1" hidden="1">{#N/A,#N/A,FALSE,"Sheet1"}</definedName>
    <definedName name="wrn.cong." hidden="1">{#N/A,#N/A,FALSE,"Sheet1"}</definedName>
    <definedName name="wrn.Che._.do._.duoc._.huong." localSheetId="2" hidden="1">{#N/A,#N/A,FALSE,"BN (2)"}</definedName>
    <definedName name="wrn.Che._.do._.duoc._.huong." hidden="1">{#N/A,#N/A,FALSE,"BN (2)"}</definedName>
    <definedName name="wrn.chi._.tiÆt." localSheetId="2" hidden="1">{#N/A,#N/A,FALSE,"Chi tiÆt"}</definedName>
    <definedName name="wrn.chi._.tiÆt." localSheetId="1" hidden="1">{#N/A,#N/A,FALSE,"Chi tiÆt"}</definedName>
    <definedName name="wrn.chi._.tiÆt." hidden="1">{#N/A,#N/A,FALSE,"Chi tiÆt"}</definedName>
    <definedName name="wrn.Giáy._.bao._.no." localSheetId="2" hidden="1">{#N/A,#N/A,FALSE,"BN"}</definedName>
    <definedName name="wrn.Giáy._.bao._.no." hidden="1">{#N/A,#N/A,FALSE,"BN"}</definedName>
    <definedName name="wrn.vd." localSheetId="2" hidden="1">{#N/A,#N/A,TRUE,"BT M200 da 10x20"}</definedName>
    <definedName name="wrn.vd." localSheetId="1" hidden="1">{#N/A,#N/A,TRUE,"BT M200 da 10x20"}</definedName>
    <definedName name="wrn.vd." hidden="1">{#N/A,#N/A,TRUE,"BT M200 da 10x20"}</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2" hidden="1">{"'Sheet1'!$L$16"}</definedName>
    <definedName name="xls" localSheetId="1" hidden="1">{"'Sheet1'!$L$16"}</definedName>
    <definedName name="xls" hidden="1">{"'Sheet1'!$L$16"}</definedName>
    <definedName name="xlttbninh" localSheetId="2" hidden="1">{"'Sheet1'!$L$16"}</definedName>
    <definedName name="xlttbninh" localSheetId="1"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44525"/>
</workbook>
</file>

<file path=xl/calcChain.xml><?xml version="1.0" encoding="utf-8"?>
<calcChain xmlns="http://schemas.openxmlformats.org/spreadsheetml/2006/main">
  <c r="A4" i="20" l="1"/>
  <c r="AP499" i="20" l="1"/>
  <c r="S478" i="20" l="1"/>
  <c r="L279" i="20"/>
  <c r="M279" i="20"/>
  <c r="N279" i="20"/>
  <c r="O279" i="20"/>
  <c r="P279" i="20"/>
  <c r="T279" i="20"/>
  <c r="U279" i="20"/>
  <c r="V279" i="20"/>
  <c r="X279" i="20"/>
  <c r="Y279" i="20"/>
  <c r="Z279" i="20"/>
  <c r="AA279" i="20"/>
  <c r="AB279" i="20"/>
  <c r="AC279" i="20"/>
  <c r="AD279" i="20"/>
  <c r="AE279" i="20"/>
  <c r="AF279" i="20"/>
  <c r="AG279" i="20"/>
  <c r="AJ279" i="20"/>
  <c r="AK279" i="20"/>
  <c r="AQ279" i="20"/>
  <c r="AR279" i="20"/>
  <c r="AS279" i="20"/>
  <c r="K279" i="20"/>
  <c r="AP281" i="20"/>
  <c r="AM281" i="20"/>
  <c r="S281" i="20"/>
  <c r="S279" i="20" s="1"/>
  <c r="AP153" i="20" l="1"/>
  <c r="AP150" i="20"/>
  <c r="BG165" i="20"/>
  <c r="L235" i="20"/>
  <c r="M235" i="20"/>
  <c r="N235" i="20"/>
  <c r="O235" i="20"/>
  <c r="P235" i="20"/>
  <c r="T235" i="20"/>
  <c r="U235" i="20"/>
  <c r="V235" i="20"/>
  <c r="W235" i="20"/>
  <c r="X235" i="20"/>
  <c r="Y235" i="20"/>
  <c r="Z235" i="20"/>
  <c r="AA235" i="20"/>
  <c r="AB235" i="20"/>
  <c r="AC235" i="20"/>
  <c r="AD235" i="20"/>
  <c r="AE235" i="20"/>
  <c r="AF235" i="20"/>
  <c r="AG235" i="20"/>
  <c r="AJ235" i="20"/>
  <c r="AK235" i="20"/>
  <c r="AQ235" i="20"/>
  <c r="AR235" i="20"/>
  <c r="AS235" i="20"/>
  <c r="K235" i="20"/>
  <c r="BF240" i="20"/>
  <c r="AX240" i="20"/>
  <c r="AY240" i="20" s="1"/>
  <c r="AW240" i="20"/>
  <c r="AV240" i="20"/>
  <c r="AP240" i="20"/>
  <c r="AU240" i="20" s="1"/>
  <c r="AO240" i="20"/>
  <c r="AN240" i="20"/>
  <c r="AM240" i="20"/>
  <c r="AL240" i="20"/>
  <c r="BG240" i="20" s="1"/>
  <c r="AI240" i="20"/>
  <c r="AH240" i="20"/>
  <c r="S240" i="20"/>
  <c r="R240" i="20"/>
  <c r="Q240" i="20"/>
  <c r="BI236" i="20" l="1"/>
  <c r="BJ236" i="20" s="1"/>
  <c r="BI225" i="20"/>
  <c r="BI224" i="20"/>
  <c r="BJ231" i="20"/>
  <c r="BJ232" i="20"/>
  <c r="BJ233" i="20"/>
  <c r="BJ230" i="20"/>
  <c r="BJ229" i="20" l="1"/>
  <c r="AQ76" i="20" l="1"/>
  <c r="AP66" i="20"/>
  <c r="W419" i="20"/>
  <c r="W361" i="20"/>
  <c r="W360" i="20"/>
  <c r="W356" i="20"/>
  <c r="W355" i="20"/>
  <c r="W354" i="20"/>
  <c r="L325" i="20"/>
  <c r="W325" i="20"/>
  <c r="W353" i="20" l="1"/>
  <c r="W352" i="20" s="1"/>
  <c r="W349" i="20" s="1"/>
  <c r="W317" i="20"/>
  <c r="W315" i="20"/>
  <c r="W287" i="20"/>
  <c r="W284" i="20"/>
  <c r="W280" i="20"/>
  <c r="W279" i="20" s="1"/>
  <c r="W253" i="20"/>
  <c r="W225" i="20" l="1"/>
  <c r="W224" i="20"/>
  <c r="W175" i="20"/>
  <c r="W150" i="20"/>
  <c r="W142" i="20"/>
  <c r="W143" i="20"/>
  <c r="W127" i="20"/>
  <c r="W128" i="20"/>
  <c r="W129" i="20"/>
  <c r="W130" i="20"/>
  <c r="W126" i="20"/>
  <c r="W122" i="20"/>
  <c r="W121" i="20"/>
  <c r="W120" i="20"/>
  <c r="W97" i="20"/>
  <c r="W92" i="20"/>
  <c r="W91" i="20"/>
  <c r="W63" i="20"/>
  <c r="W406" i="20"/>
  <c r="W405" i="20"/>
  <c r="W404" i="20"/>
  <c r="W416" i="20"/>
  <c r="W65" i="20"/>
  <c r="W89" i="20"/>
  <c r="AQ68" i="20"/>
  <c r="W403" i="20"/>
  <c r="W400" i="20"/>
  <c r="W401" i="20"/>
  <c r="W396" i="20"/>
  <c r="T333" i="20" l="1"/>
  <c r="S333" i="20"/>
  <c r="U333" i="20"/>
  <c r="V333" i="20"/>
  <c r="W333" i="20"/>
  <c r="X333" i="20"/>
  <c r="Y333" i="20"/>
  <c r="Z333" i="20"/>
  <c r="AA333" i="20"/>
  <c r="AB333" i="20"/>
  <c r="AC333" i="20"/>
  <c r="AD333" i="20"/>
  <c r="AE333" i="20"/>
  <c r="AF333" i="20"/>
  <c r="AG333" i="20"/>
  <c r="AJ333" i="20"/>
  <c r="AK333" i="20"/>
  <c r="AQ333" i="20"/>
  <c r="AQ327" i="20"/>
  <c r="AJ312" i="20"/>
  <c r="AK312" i="20"/>
  <c r="AQ324" i="20"/>
  <c r="AP450" i="20" l="1"/>
  <c r="AP446" i="20"/>
  <c r="AP365" i="20"/>
  <c r="AP366" i="20"/>
  <c r="AP367" i="20"/>
  <c r="AP368" i="20"/>
  <c r="AP369" i="20"/>
  <c r="AP370" i="20"/>
  <c r="AP364" i="20"/>
  <c r="AP361" i="20"/>
  <c r="AP360" i="20"/>
  <c r="AP355" i="20"/>
  <c r="AP356" i="20"/>
  <c r="AP354" i="20"/>
  <c r="AP347" i="20"/>
  <c r="AP309" i="20"/>
  <c r="AP310" i="20"/>
  <c r="AP291" i="20"/>
  <c r="AP288" i="20"/>
  <c r="AP280" i="20"/>
  <c r="AP279" i="20" s="1"/>
  <c r="AP262" i="20"/>
  <c r="AP233" i="20"/>
  <c r="AP189" i="20"/>
  <c r="AP164" i="20"/>
  <c r="AP152" i="20"/>
  <c r="AP125" i="20"/>
  <c r="AP97" i="20"/>
  <c r="AP427" i="20"/>
  <c r="AQ509" i="20" l="1"/>
  <c r="AQ67" i="20"/>
  <c r="AM114" i="20" l="1"/>
  <c r="AP114" i="20"/>
  <c r="AL114" i="20" s="1"/>
  <c r="BG114" i="20" s="1"/>
  <c r="AU114" i="20" l="1"/>
  <c r="L453" i="20"/>
  <c r="M453" i="20"/>
  <c r="N453" i="20"/>
  <c r="O453" i="20"/>
  <c r="P453" i="20"/>
  <c r="S453" i="20"/>
  <c r="T453" i="20"/>
  <c r="U453" i="20"/>
  <c r="V453" i="20"/>
  <c r="W453" i="20"/>
  <c r="X453" i="20"/>
  <c r="Y453" i="20"/>
  <c r="Z453" i="20"/>
  <c r="AA453" i="20"/>
  <c r="AB453" i="20"/>
  <c r="AC453" i="20"/>
  <c r="AD453" i="20"/>
  <c r="AE453" i="20"/>
  <c r="AF453" i="20"/>
  <c r="AG453" i="20"/>
  <c r="AJ453" i="20"/>
  <c r="AK453" i="20"/>
  <c r="AQ453" i="20"/>
  <c r="AR453" i="20"/>
  <c r="AS453" i="20"/>
  <c r="K453" i="20"/>
  <c r="AJ436" i="20"/>
  <c r="AK436" i="20"/>
  <c r="AQ306" i="20"/>
  <c r="AP428" i="20" l="1"/>
  <c r="S428" i="20"/>
  <c r="K428" i="20"/>
  <c r="AJ172" i="20" l="1"/>
  <c r="AK172" i="20"/>
  <c r="L463" i="20" l="1"/>
  <c r="M463" i="20"/>
  <c r="N463" i="20"/>
  <c r="O463" i="20"/>
  <c r="P463" i="20"/>
  <c r="T463" i="20"/>
  <c r="U463" i="20"/>
  <c r="V463" i="20"/>
  <c r="W463" i="20"/>
  <c r="X463" i="20"/>
  <c r="Y463" i="20"/>
  <c r="Z463" i="20"/>
  <c r="AA463" i="20"/>
  <c r="AB463" i="20"/>
  <c r="AD463" i="20"/>
  <c r="AE463" i="20"/>
  <c r="AF463" i="20"/>
  <c r="AG463" i="20"/>
  <c r="AJ463" i="20"/>
  <c r="AK463" i="20"/>
  <c r="AQ463" i="20"/>
  <c r="AR463" i="20"/>
  <c r="AS463" i="20"/>
  <c r="K463" i="20"/>
  <c r="S477" i="20"/>
  <c r="S479" i="20"/>
  <c r="S463" i="20" l="1"/>
  <c r="AJ48" i="20"/>
  <c r="AK48" i="20"/>
  <c r="AQ48" i="20"/>
  <c r="AR48" i="20"/>
  <c r="AS48" i="20"/>
  <c r="AJ509" i="20"/>
  <c r="AK509" i="20"/>
  <c r="AR509" i="20"/>
  <c r="AS509" i="20"/>
  <c r="AQ438" i="20"/>
  <c r="AM516" i="20" l="1"/>
  <c r="AP516" i="20"/>
  <c r="AU516" i="20" s="1"/>
  <c r="M327" i="20"/>
  <c r="N327" i="20"/>
  <c r="O327" i="20"/>
  <c r="P327" i="20"/>
  <c r="T327" i="20"/>
  <c r="U327" i="20"/>
  <c r="V327" i="20"/>
  <c r="W327" i="20"/>
  <c r="X327" i="20"/>
  <c r="Y327" i="20"/>
  <c r="Z327" i="20"/>
  <c r="AA327" i="20"/>
  <c r="AB327" i="20"/>
  <c r="AC327" i="20"/>
  <c r="AD327" i="20"/>
  <c r="AE327" i="20"/>
  <c r="AF327" i="20"/>
  <c r="AG327" i="20"/>
  <c r="AJ327" i="20"/>
  <c r="AK327" i="20"/>
  <c r="AR327" i="20"/>
  <c r="AS327" i="20"/>
  <c r="K327" i="20"/>
  <c r="AP52" i="20"/>
  <c r="AU52" i="20" s="1"/>
  <c r="AL516" i="20" l="1"/>
  <c r="BG516" i="20" s="1"/>
  <c r="AP232" i="20"/>
  <c r="U238" i="20"/>
  <c r="V238" i="20"/>
  <c r="W238" i="20"/>
  <c r="X238" i="20"/>
  <c r="Y238" i="20"/>
  <c r="Z238" i="20"/>
  <c r="AA238" i="20"/>
  <c r="AB238" i="20"/>
  <c r="AC238" i="20"/>
  <c r="AD238" i="20"/>
  <c r="AE238" i="20"/>
  <c r="AF238" i="20"/>
  <c r="AG238" i="20"/>
  <c r="AJ238" i="20"/>
  <c r="AK238" i="20"/>
  <c r="AQ238" i="20"/>
  <c r="AR238" i="20"/>
  <c r="AS238" i="20"/>
  <c r="S238" i="20"/>
  <c r="AP239" i="20"/>
  <c r="AX239" i="20"/>
  <c r="AY239" i="20" s="1"/>
  <c r="AV239" i="20"/>
  <c r="BF239" i="20"/>
  <c r="AO239" i="20"/>
  <c r="AN239" i="20"/>
  <c r="AI239" i="20"/>
  <c r="AH239" i="20"/>
  <c r="R239" i="20"/>
  <c r="AL239" i="20" l="1"/>
  <c r="AM239" i="20"/>
  <c r="AU239" i="20"/>
  <c r="AQ395" i="20"/>
  <c r="AH397" i="20"/>
  <c r="W397" i="20" s="1"/>
  <c r="BF397" i="20"/>
  <c r="L395" i="20"/>
  <c r="M395" i="20"/>
  <c r="N395" i="20"/>
  <c r="O395" i="20"/>
  <c r="P395" i="20"/>
  <c r="S395" i="20"/>
  <c r="T395" i="20"/>
  <c r="U395" i="20"/>
  <c r="V395" i="20"/>
  <c r="Y395" i="20"/>
  <c r="Z395" i="20"/>
  <c r="AA395" i="20"/>
  <c r="AC395" i="20"/>
  <c r="AD395" i="20"/>
  <c r="AE395" i="20"/>
  <c r="AF395" i="20"/>
  <c r="AG395" i="20"/>
  <c r="AJ395" i="20"/>
  <c r="AK395" i="20"/>
  <c r="AR395" i="20"/>
  <c r="AS395" i="20"/>
  <c r="K395" i="20"/>
  <c r="AP397" i="20"/>
  <c r="BG239" i="20" l="1"/>
  <c r="K233" i="20"/>
  <c r="L314" i="20"/>
  <c r="M314" i="20"/>
  <c r="N314" i="20"/>
  <c r="O314" i="20"/>
  <c r="P314" i="20"/>
  <c r="S314" i="20"/>
  <c r="T314" i="20"/>
  <c r="U314" i="20"/>
  <c r="V314" i="20"/>
  <c r="W314" i="20"/>
  <c r="X314" i="20"/>
  <c r="Y314" i="20"/>
  <c r="Z314" i="20"/>
  <c r="AA314" i="20"/>
  <c r="AB314" i="20"/>
  <c r="AC314" i="20"/>
  <c r="AD314" i="20"/>
  <c r="AE314" i="20"/>
  <c r="AF314" i="20"/>
  <c r="AG314" i="20"/>
  <c r="AJ314" i="20"/>
  <c r="AK314" i="20"/>
  <c r="AR314" i="20"/>
  <c r="AS314" i="20"/>
  <c r="AP322" i="20"/>
  <c r="K322" i="20"/>
  <c r="K314" i="20" s="1"/>
  <c r="AQ417" i="20" l="1"/>
  <c r="AQ363" i="20"/>
  <c r="AQ359" i="20"/>
  <c r="AQ353" i="20"/>
  <c r="AQ264" i="20"/>
  <c r="AQ223" i="20"/>
  <c r="AQ216" i="20"/>
  <c r="AQ203" i="20"/>
  <c r="AQ192" i="20"/>
  <c r="AP424" i="20" l="1"/>
  <c r="L68" i="20" l="1"/>
  <c r="M68" i="20"/>
  <c r="N68" i="20"/>
  <c r="O68" i="20"/>
  <c r="P68" i="20"/>
  <c r="T68" i="20"/>
  <c r="U68" i="20"/>
  <c r="V68" i="20"/>
  <c r="X68" i="20"/>
  <c r="Y68" i="20"/>
  <c r="Z68" i="20"/>
  <c r="AA68" i="20"/>
  <c r="AB68" i="20"/>
  <c r="AC68" i="20"/>
  <c r="AD68" i="20"/>
  <c r="AE68" i="20"/>
  <c r="AF68" i="20"/>
  <c r="AG68" i="20"/>
  <c r="AJ68" i="20"/>
  <c r="AK68" i="20"/>
  <c r="AR68" i="20"/>
  <c r="AS68" i="20"/>
  <c r="K68" i="20"/>
  <c r="K67" i="20" s="1"/>
  <c r="AP76" i="20"/>
  <c r="AU76" i="20" s="1"/>
  <c r="AH76" i="20"/>
  <c r="S76" i="20"/>
  <c r="AI253" i="20" l="1"/>
  <c r="AJ250" i="20"/>
  <c r="AK250" i="20"/>
  <c r="M255" i="20"/>
  <c r="N255" i="20"/>
  <c r="P255" i="20"/>
  <c r="U255" i="20"/>
  <c r="V255" i="20"/>
  <c r="X255" i="20"/>
  <c r="Y255" i="20"/>
  <c r="Z255" i="20"/>
  <c r="AA255" i="20"/>
  <c r="AB255" i="20"/>
  <c r="AC255" i="20"/>
  <c r="AD255" i="20"/>
  <c r="AE255" i="20"/>
  <c r="AF255" i="20"/>
  <c r="AG255" i="20"/>
  <c r="AJ255" i="20"/>
  <c r="AK255" i="20"/>
  <c r="AS255" i="20"/>
  <c r="K255" i="20"/>
  <c r="AR264" i="20"/>
  <c r="AG264" i="20"/>
  <c r="AF264" i="20"/>
  <c r="AE264" i="20"/>
  <c r="AD264" i="20"/>
  <c r="AC264" i="20"/>
  <c r="AB264" i="20"/>
  <c r="AA264" i="20"/>
  <c r="Z264" i="20"/>
  <c r="Y264" i="20"/>
  <c r="X264" i="20"/>
  <c r="W264" i="20"/>
  <c r="V264" i="20"/>
  <c r="U264" i="20"/>
  <c r="T264" i="20"/>
  <c r="S264" i="20"/>
  <c r="P264" i="20"/>
  <c r="O264" i="20"/>
  <c r="N264" i="20"/>
  <c r="M264" i="20"/>
  <c r="L264" i="20"/>
  <c r="K252" i="20"/>
  <c r="AP210" i="20"/>
  <c r="AP214" i="20"/>
  <c r="AP209" i="20"/>
  <c r="AP205" i="20"/>
  <c r="AP206" i="20"/>
  <c r="T216" i="20"/>
  <c r="U216" i="20"/>
  <c r="V216" i="20"/>
  <c r="W216" i="20"/>
  <c r="X216" i="20"/>
  <c r="Y216" i="20"/>
  <c r="Z216" i="20"/>
  <c r="AA216" i="20"/>
  <c r="AB216" i="20"/>
  <c r="AC216" i="20"/>
  <c r="AD216" i="20"/>
  <c r="AE216" i="20"/>
  <c r="AF216" i="20"/>
  <c r="AG216" i="20"/>
  <c r="AJ216" i="20"/>
  <c r="AK216" i="20"/>
  <c r="AR216" i="20"/>
  <c r="AQ208" i="20"/>
  <c r="K198" i="20"/>
  <c r="K179" i="20"/>
  <c r="K174" i="20"/>
  <c r="L156" i="20"/>
  <c r="M156" i="20"/>
  <c r="N156" i="20"/>
  <c r="O156" i="20"/>
  <c r="P156" i="20"/>
  <c r="T156" i="20"/>
  <c r="U156" i="20"/>
  <c r="V156" i="20"/>
  <c r="W156" i="20"/>
  <c r="X156" i="20"/>
  <c r="Y156" i="20"/>
  <c r="Z156" i="20"/>
  <c r="AA156" i="20"/>
  <c r="AB156" i="20"/>
  <c r="AC156" i="20"/>
  <c r="AD156" i="20"/>
  <c r="AF156" i="20"/>
  <c r="AG156" i="20"/>
  <c r="AJ156" i="20"/>
  <c r="AK156" i="20"/>
  <c r="AO156" i="20"/>
  <c r="AQ156" i="20"/>
  <c r="AR156" i="20"/>
  <c r="AS156" i="20"/>
  <c r="L149" i="20"/>
  <c r="M149" i="20"/>
  <c r="N149" i="20"/>
  <c r="O149" i="20"/>
  <c r="T149" i="20"/>
  <c r="U149" i="20"/>
  <c r="V149" i="20"/>
  <c r="X149" i="20"/>
  <c r="Y149" i="20"/>
  <c r="Z149" i="20"/>
  <c r="AA149" i="20"/>
  <c r="AD149" i="20"/>
  <c r="AE149" i="20"/>
  <c r="AF149" i="20"/>
  <c r="AG149" i="20"/>
  <c r="AJ149" i="20"/>
  <c r="AK149" i="20"/>
  <c r="AR149" i="20"/>
  <c r="AS149" i="20"/>
  <c r="K149" i="20"/>
  <c r="L141" i="20"/>
  <c r="M141" i="20"/>
  <c r="N141" i="20"/>
  <c r="O141" i="20"/>
  <c r="P141" i="20"/>
  <c r="S141" i="20"/>
  <c r="T141" i="20"/>
  <c r="U141" i="20"/>
  <c r="V141" i="20"/>
  <c r="X141" i="20"/>
  <c r="Y141" i="20"/>
  <c r="Z141" i="20"/>
  <c r="AA141" i="20"/>
  <c r="AB141" i="20"/>
  <c r="AD141" i="20"/>
  <c r="AE141" i="20"/>
  <c r="AF141" i="20"/>
  <c r="AG141" i="20"/>
  <c r="AJ141" i="20"/>
  <c r="AJ140" i="20" s="1"/>
  <c r="AK141" i="20"/>
  <c r="AK140" i="20" s="1"/>
  <c r="AQ141" i="20"/>
  <c r="AR141" i="20"/>
  <c r="AS141" i="20"/>
  <c r="K141" i="20"/>
  <c r="K143" i="20"/>
  <c r="L132" i="20"/>
  <c r="M132" i="20"/>
  <c r="N132" i="20"/>
  <c r="O132" i="20"/>
  <c r="P132" i="20"/>
  <c r="U132" i="20"/>
  <c r="V132" i="20"/>
  <c r="W132" i="20"/>
  <c r="X132" i="20"/>
  <c r="Y132" i="20"/>
  <c r="Z132" i="20"/>
  <c r="AA132" i="20"/>
  <c r="AB132" i="20"/>
  <c r="AC132" i="20"/>
  <c r="AD132" i="20"/>
  <c r="AE132" i="20"/>
  <c r="AF132" i="20"/>
  <c r="AG132" i="20"/>
  <c r="AJ132" i="20"/>
  <c r="AK132" i="20"/>
  <c r="AQ132" i="20"/>
  <c r="AR132" i="20"/>
  <c r="AS132" i="20"/>
  <c r="K124" i="20"/>
  <c r="L118" i="20"/>
  <c r="M118" i="20"/>
  <c r="N118" i="20"/>
  <c r="P118" i="20"/>
  <c r="T118" i="20"/>
  <c r="U118" i="20"/>
  <c r="V118" i="20"/>
  <c r="X118" i="20"/>
  <c r="Y118" i="20"/>
  <c r="Z118" i="20"/>
  <c r="AA118" i="20"/>
  <c r="AB118" i="20"/>
  <c r="AC118" i="20"/>
  <c r="AD118" i="20"/>
  <c r="AE118" i="20"/>
  <c r="AF118" i="20"/>
  <c r="AG118" i="20"/>
  <c r="AJ118" i="20"/>
  <c r="AK118" i="20"/>
  <c r="AQ118" i="20"/>
  <c r="AR118" i="20"/>
  <c r="AS118" i="20"/>
  <c r="U111" i="20"/>
  <c r="V111" i="20"/>
  <c r="W111" i="20"/>
  <c r="X111" i="20"/>
  <c r="Y111" i="20"/>
  <c r="Z111" i="20"/>
  <c r="AA111" i="20"/>
  <c r="AB111" i="20"/>
  <c r="AC111" i="20"/>
  <c r="AD111" i="20"/>
  <c r="AE111" i="20"/>
  <c r="AF111" i="20"/>
  <c r="AG111" i="20"/>
  <c r="AJ111" i="20"/>
  <c r="AK111" i="20"/>
  <c r="AQ111" i="20"/>
  <c r="AR111" i="20"/>
  <c r="AS111" i="20"/>
  <c r="T111" i="20"/>
  <c r="L104" i="20"/>
  <c r="M104" i="20"/>
  <c r="N104" i="20"/>
  <c r="O104" i="20"/>
  <c r="P104" i="20"/>
  <c r="U104" i="20"/>
  <c r="V104" i="20"/>
  <c r="W104" i="20"/>
  <c r="X104" i="20"/>
  <c r="Y104" i="20"/>
  <c r="Z104" i="20"/>
  <c r="AA104" i="20"/>
  <c r="AB104" i="20"/>
  <c r="AC104" i="20"/>
  <c r="AD104" i="20"/>
  <c r="AE104" i="20"/>
  <c r="AF104" i="20"/>
  <c r="AG104" i="20"/>
  <c r="AJ104" i="20"/>
  <c r="AK104" i="20"/>
  <c r="AQ104" i="20"/>
  <c r="AR104" i="20"/>
  <c r="AS104" i="20"/>
  <c r="L94" i="20"/>
  <c r="M94" i="20"/>
  <c r="N94" i="20"/>
  <c r="O94" i="20"/>
  <c r="P94" i="20"/>
  <c r="T94" i="20"/>
  <c r="U94" i="20"/>
  <c r="V94" i="20"/>
  <c r="X94" i="20"/>
  <c r="Y94" i="20"/>
  <c r="Z94" i="20"/>
  <c r="AA94" i="20"/>
  <c r="AB94" i="20"/>
  <c r="AC94" i="20"/>
  <c r="AD94" i="20"/>
  <c r="AE94" i="20"/>
  <c r="AF94" i="20"/>
  <c r="AG94" i="20"/>
  <c r="AJ94" i="20"/>
  <c r="AK94" i="20"/>
  <c r="AR94" i="20"/>
  <c r="AS94" i="20"/>
  <c r="L90" i="20"/>
  <c r="M90" i="20"/>
  <c r="N90" i="20"/>
  <c r="O90" i="20"/>
  <c r="P90" i="20"/>
  <c r="S90" i="20"/>
  <c r="T90" i="20"/>
  <c r="U90" i="20"/>
  <c r="V90" i="20"/>
  <c r="X90" i="20"/>
  <c r="Y90" i="20"/>
  <c r="Z90" i="20"/>
  <c r="AA90" i="20"/>
  <c r="AB90" i="20"/>
  <c r="AC90" i="20"/>
  <c r="AD90" i="20"/>
  <c r="AE90" i="20"/>
  <c r="AF90" i="20"/>
  <c r="AG90" i="20"/>
  <c r="AJ90" i="20"/>
  <c r="AK90" i="20"/>
  <c r="AQ90" i="20"/>
  <c r="AR90" i="20"/>
  <c r="AS90" i="20"/>
  <c r="K90" i="20"/>
  <c r="K88" i="20"/>
  <c r="T81" i="20"/>
  <c r="U81" i="20"/>
  <c r="V81" i="20"/>
  <c r="W81" i="20"/>
  <c r="X81" i="20"/>
  <c r="Y81" i="20"/>
  <c r="Z81" i="20"/>
  <c r="AA81" i="20"/>
  <c r="AB81" i="20"/>
  <c r="AC81" i="20"/>
  <c r="AD81" i="20"/>
  <c r="AE81" i="20"/>
  <c r="AF81" i="20"/>
  <c r="AG81" i="20"/>
  <c r="AJ81" i="20"/>
  <c r="AK81" i="20"/>
  <c r="AQ81" i="20"/>
  <c r="AR81" i="20"/>
  <c r="AS81" i="20"/>
  <c r="S81" i="20"/>
  <c r="L78" i="20"/>
  <c r="M78" i="20"/>
  <c r="N78" i="20"/>
  <c r="O78" i="20"/>
  <c r="P78" i="20"/>
  <c r="S78" i="20"/>
  <c r="T78" i="20"/>
  <c r="U78" i="20"/>
  <c r="V78" i="20"/>
  <c r="W78" i="20"/>
  <c r="X78" i="20"/>
  <c r="Y78" i="20"/>
  <c r="Z78" i="20"/>
  <c r="AA78" i="20"/>
  <c r="AB78" i="20"/>
  <c r="AC78" i="20"/>
  <c r="AD78" i="20"/>
  <c r="AE78" i="20"/>
  <c r="AF78" i="20"/>
  <c r="AG78" i="20"/>
  <c r="AJ78" i="20"/>
  <c r="AK78" i="20"/>
  <c r="AM78" i="20"/>
  <c r="AQ78" i="20"/>
  <c r="AR78" i="20"/>
  <c r="AS78" i="20"/>
  <c r="L67" i="20"/>
  <c r="M67" i="20"/>
  <c r="N67" i="20"/>
  <c r="O67" i="20"/>
  <c r="P67" i="20"/>
  <c r="T67" i="20"/>
  <c r="U67" i="20"/>
  <c r="V67" i="20"/>
  <c r="X67" i="20"/>
  <c r="Y67" i="20"/>
  <c r="Z67" i="20"/>
  <c r="AA67" i="20"/>
  <c r="AB67" i="20"/>
  <c r="AC67" i="20"/>
  <c r="AD67" i="20"/>
  <c r="AE67" i="20"/>
  <c r="AF67" i="20"/>
  <c r="AG67" i="20"/>
  <c r="AJ67" i="20"/>
  <c r="AK67" i="20"/>
  <c r="AR67" i="20"/>
  <c r="AS67" i="20"/>
  <c r="L64" i="20"/>
  <c r="M64" i="20"/>
  <c r="N64" i="20"/>
  <c r="O64" i="20"/>
  <c r="P64" i="20"/>
  <c r="T64" i="20"/>
  <c r="U64" i="20"/>
  <c r="V64" i="20"/>
  <c r="W64" i="20"/>
  <c r="X64" i="20"/>
  <c r="Y64" i="20"/>
  <c r="Z64" i="20"/>
  <c r="AA64" i="20"/>
  <c r="AB64" i="20"/>
  <c r="AC64" i="20"/>
  <c r="AD64" i="20"/>
  <c r="AE64" i="20"/>
  <c r="AF64" i="20"/>
  <c r="AG64" i="20"/>
  <c r="AJ64" i="20"/>
  <c r="AK64" i="20"/>
  <c r="AQ64" i="20"/>
  <c r="AR64" i="20"/>
  <c r="AS64" i="20"/>
  <c r="AP136" i="20"/>
  <c r="K140" i="20" l="1"/>
  <c r="BG506" i="20"/>
  <c r="BF506" i="20"/>
  <c r="AP506" i="20"/>
  <c r="BG505" i="20"/>
  <c r="AP505" i="20"/>
  <c r="BG504" i="20"/>
  <c r="BF504" i="20"/>
  <c r="AP504" i="20"/>
  <c r="BG503" i="20"/>
  <c r="AP503" i="20"/>
  <c r="BG502" i="20"/>
  <c r="AP502" i="20"/>
  <c r="AS501" i="20"/>
  <c r="AS500" i="20" s="1"/>
  <c r="AR501" i="20"/>
  <c r="AR500" i="20" s="1"/>
  <c r="AQ501" i="20"/>
  <c r="AQ500" i="20" s="1"/>
  <c r="AO501" i="20"/>
  <c r="AO500" i="20" s="1"/>
  <c r="AN501" i="20"/>
  <c r="AN500" i="20" s="1"/>
  <c r="AM501" i="20"/>
  <c r="AM500" i="20" s="1"/>
  <c r="AL501" i="20"/>
  <c r="AK501" i="20"/>
  <c r="AK500" i="20" s="1"/>
  <c r="AJ501" i="20"/>
  <c r="AJ500" i="20" s="1"/>
  <c r="AI501" i="20"/>
  <c r="AI500" i="20" s="1"/>
  <c r="AH501" i="20"/>
  <c r="AH500" i="20" s="1"/>
  <c r="AG501" i="20"/>
  <c r="AF501" i="20"/>
  <c r="AF500" i="20" s="1"/>
  <c r="AE501" i="20"/>
  <c r="AE500" i="20" s="1"/>
  <c r="AD501" i="20"/>
  <c r="AD500" i="20" s="1"/>
  <c r="AC501" i="20"/>
  <c r="AB501" i="20"/>
  <c r="AB500" i="20" s="1"/>
  <c r="AA501" i="20"/>
  <c r="AA500" i="20" s="1"/>
  <c r="Z501" i="20"/>
  <c r="Z500" i="20" s="1"/>
  <c r="Y501" i="20"/>
  <c r="Y500" i="20" s="1"/>
  <c r="X501" i="20"/>
  <c r="X500" i="20" s="1"/>
  <c r="W501" i="20"/>
  <c r="W500" i="20" s="1"/>
  <c r="V501" i="20"/>
  <c r="V500" i="20" s="1"/>
  <c r="U501" i="20"/>
  <c r="U500" i="20" s="1"/>
  <c r="T501" i="20"/>
  <c r="T500" i="20" s="1"/>
  <c r="S501" i="20"/>
  <c r="S500" i="20" s="1"/>
  <c r="R501" i="20"/>
  <c r="R500" i="20" s="1"/>
  <c r="Q501" i="20"/>
  <c r="Q500" i="20" s="1"/>
  <c r="P501" i="20"/>
  <c r="P500" i="20" s="1"/>
  <c r="O501" i="20"/>
  <c r="O500" i="20" s="1"/>
  <c r="N501" i="20"/>
  <c r="N500" i="20" s="1"/>
  <c r="M501" i="20"/>
  <c r="M500" i="20" s="1"/>
  <c r="L501" i="20"/>
  <c r="L500" i="20" s="1"/>
  <c r="K501" i="20"/>
  <c r="K500" i="20" s="1"/>
  <c r="AG500" i="20"/>
  <c r="AC500" i="20"/>
  <c r="BH499" i="20"/>
  <c r="BG499" i="20"/>
  <c r="BF499" i="20"/>
  <c r="BG498" i="20"/>
  <c r="AP498" i="20"/>
  <c r="BG497" i="20"/>
  <c r="AP497" i="20"/>
  <c r="BG496" i="20"/>
  <c r="AP496" i="20"/>
  <c r="AS495" i="20"/>
  <c r="AS494" i="20" s="1"/>
  <c r="AR495" i="20"/>
  <c r="AR494" i="20" s="1"/>
  <c r="AQ495" i="20"/>
  <c r="AQ494" i="20" s="1"/>
  <c r="AO495" i="20"/>
  <c r="AO494" i="20" s="1"/>
  <c r="AN495" i="20"/>
  <c r="AN494" i="20" s="1"/>
  <c r="AM495" i="20"/>
  <c r="AM494" i="20" s="1"/>
  <c r="AL495" i="20"/>
  <c r="AK495" i="20"/>
  <c r="AK494" i="20" s="1"/>
  <c r="AJ495" i="20"/>
  <c r="AJ494" i="20" s="1"/>
  <c r="AI495" i="20"/>
  <c r="AI494" i="20" s="1"/>
  <c r="AH495" i="20"/>
  <c r="AH494" i="20" s="1"/>
  <c r="AG495" i="20"/>
  <c r="AG494" i="20" s="1"/>
  <c r="AF495" i="20"/>
  <c r="AF494" i="20" s="1"/>
  <c r="AE495" i="20"/>
  <c r="AE494" i="20" s="1"/>
  <c r="AD495" i="20"/>
  <c r="AD494" i="20" s="1"/>
  <c r="AC495" i="20"/>
  <c r="AC494" i="20" s="1"/>
  <c r="AB495" i="20"/>
  <c r="AB494" i="20" s="1"/>
  <c r="AA495" i="20"/>
  <c r="AA494" i="20" s="1"/>
  <c r="Z495" i="20"/>
  <c r="Z494" i="20" s="1"/>
  <c r="Y495" i="20"/>
  <c r="Y494" i="20" s="1"/>
  <c r="X495" i="20"/>
  <c r="X494" i="20" s="1"/>
  <c r="W495" i="20"/>
  <c r="W494" i="20" s="1"/>
  <c r="V495" i="20"/>
  <c r="V494" i="20" s="1"/>
  <c r="U495" i="20"/>
  <c r="U494" i="20" s="1"/>
  <c r="T495" i="20"/>
  <c r="T494" i="20" s="1"/>
  <c r="S495" i="20"/>
  <c r="S494" i="20" s="1"/>
  <c r="R495" i="20"/>
  <c r="R494" i="20" s="1"/>
  <c r="Q495" i="20"/>
  <c r="Q494" i="20" s="1"/>
  <c r="P495" i="20"/>
  <c r="P494" i="20" s="1"/>
  <c r="O495" i="20"/>
  <c r="O494" i="20" s="1"/>
  <c r="N495" i="20"/>
  <c r="N494" i="20" s="1"/>
  <c r="M495" i="20"/>
  <c r="M494" i="20" s="1"/>
  <c r="L495" i="20"/>
  <c r="L494" i="20" s="1"/>
  <c r="K495" i="20"/>
  <c r="K494" i="20" s="1"/>
  <c r="BH493" i="20"/>
  <c r="BG493" i="20"/>
  <c r="BF493" i="20"/>
  <c r="AP493" i="20"/>
  <c r="BG492" i="20"/>
  <c r="AP492" i="20"/>
  <c r="AS491" i="20"/>
  <c r="AS490" i="20" s="1"/>
  <c r="AR491" i="20"/>
  <c r="AR490" i="20" s="1"/>
  <c r="AQ491" i="20"/>
  <c r="AQ490" i="20" s="1"/>
  <c r="AO491" i="20"/>
  <c r="AO490" i="20" s="1"/>
  <c r="AN491" i="20"/>
  <c r="AN490" i="20" s="1"/>
  <c r="AM491" i="20"/>
  <c r="AM490" i="20" s="1"/>
  <c r="AL491" i="20"/>
  <c r="AK491" i="20"/>
  <c r="AK490" i="20" s="1"/>
  <c r="AJ491" i="20"/>
  <c r="AJ490" i="20" s="1"/>
  <c r="AI491" i="20"/>
  <c r="AI490" i="20" s="1"/>
  <c r="AH491" i="20"/>
  <c r="AH490" i="20" s="1"/>
  <c r="AG491" i="20"/>
  <c r="AG490" i="20" s="1"/>
  <c r="AF491" i="20"/>
  <c r="AF490" i="20" s="1"/>
  <c r="AE491" i="20"/>
  <c r="AE490" i="20" s="1"/>
  <c r="AD491" i="20"/>
  <c r="AD490" i="20" s="1"/>
  <c r="AC491" i="20"/>
  <c r="AC490" i="20" s="1"/>
  <c r="AB491" i="20"/>
  <c r="AB490" i="20" s="1"/>
  <c r="AA491" i="20"/>
  <c r="AA490" i="20" s="1"/>
  <c r="Z491" i="20"/>
  <c r="Z490" i="20" s="1"/>
  <c r="Y491" i="20"/>
  <c r="Y490" i="20" s="1"/>
  <c r="X491" i="20"/>
  <c r="X490" i="20" s="1"/>
  <c r="W491" i="20"/>
  <c r="W490" i="20" s="1"/>
  <c r="V491" i="20"/>
  <c r="V490" i="20" s="1"/>
  <c r="U491" i="20"/>
  <c r="U490" i="20" s="1"/>
  <c r="T491" i="20"/>
  <c r="T490" i="20" s="1"/>
  <c r="S491" i="20"/>
  <c r="S490" i="20" s="1"/>
  <c r="R491" i="20"/>
  <c r="R490" i="20" s="1"/>
  <c r="Q491" i="20"/>
  <c r="Q490" i="20" s="1"/>
  <c r="P491" i="20"/>
  <c r="P490" i="20" s="1"/>
  <c r="O491" i="20"/>
  <c r="O490" i="20" s="1"/>
  <c r="N491" i="20"/>
  <c r="N490" i="20" s="1"/>
  <c r="M491" i="20"/>
  <c r="M490" i="20" s="1"/>
  <c r="L491" i="20"/>
  <c r="L490" i="20" s="1"/>
  <c r="K491" i="20"/>
  <c r="K490" i="20" s="1"/>
  <c r="BH489" i="20"/>
  <c r="BG489" i="20"/>
  <c r="BF489" i="20"/>
  <c r="AP489" i="20"/>
  <c r="AP488" i="20" s="1"/>
  <c r="AP487" i="20" s="1"/>
  <c r="AH489" i="20"/>
  <c r="L489" i="20"/>
  <c r="L488" i="20" s="1"/>
  <c r="L487" i="20" s="1"/>
  <c r="AS488" i="20"/>
  <c r="AS487" i="20" s="1"/>
  <c r="AR488" i="20"/>
  <c r="AQ488" i="20"/>
  <c r="AO488" i="20"/>
  <c r="AN488" i="20"/>
  <c r="AN487" i="20" s="1"/>
  <c r="AM488" i="20"/>
  <c r="AM487" i="20" s="1"/>
  <c r="AL488" i="20"/>
  <c r="BG488" i="20" s="1"/>
  <c r="AK488" i="20"/>
  <c r="AK487" i="20" s="1"/>
  <c r="AJ488" i="20"/>
  <c r="AJ487" i="20" s="1"/>
  <c r="AI488" i="20"/>
  <c r="AI487" i="20" s="1"/>
  <c r="AH488" i="20"/>
  <c r="AH487" i="20" s="1"/>
  <c r="AG488" i="20"/>
  <c r="AG487" i="20" s="1"/>
  <c r="AF488" i="20"/>
  <c r="AF487" i="20" s="1"/>
  <c r="AE488" i="20"/>
  <c r="AE487" i="20" s="1"/>
  <c r="AD488" i="20"/>
  <c r="AD487" i="20" s="1"/>
  <c r="AC488" i="20"/>
  <c r="AC487" i="20" s="1"/>
  <c r="AB488" i="20"/>
  <c r="AB487" i="20" s="1"/>
  <c r="AA488" i="20"/>
  <c r="AA487" i="20" s="1"/>
  <c r="Z488" i="20"/>
  <c r="Z487" i="20" s="1"/>
  <c r="Y488" i="20"/>
  <c r="Y487" i="20" s="1"/>
  <c r="X488" i="20"/>
  <c r="X487" i="20" s="1"/>
  <c r="W488" i="20"/>
  <c r="W487" i="20" s="1"/>
  <c r="V488" i="20"/>
  <c r="V487" i="20" s="1"/>
  <c r="U488" i="20"/>
  <c r="U487" i="20" s="1"/>
  <c r="T488" i="20"/>
  <c r="T487" i="20" s="1"/>
  <c r="S488" i="20"/>
  <c r="S487" i="20" s="1"/>
  <c r="R488" i="20"/>
  <c r="R487" i="20" s="1"/>
  <c r="Q488" i="20"/>
  <c r="Q487" i="20" s="1"/>
  <c r="P488" i="20"/>
  <c r="P487" i="20" s="1"/>
  <c r="O488" i="20"/>
  <c r="O487" i="20" s="1"/>
  <c r="N488" i="20"/>
  <c r="N487" i="20" s="1"/>
  <c r="M488" i="20"/>
  <c r="M487" i="20" s="1"/>
  <c r="K488" i="20"/>
  <c r="K487" i="20" s="1"/>
  <c r="AR487" i="20"/>
  <c r="AQ487" i="20"/>
  <c r="AO487" i="20"/>
  <c r="BG486" i="20"/>
  <c r="AP486" i="20"/>
  <c r="AP485" i="20" s="1"/>
  <c r="AP484" i="20" s="1"/>
  <c r="L486" i="20"/>
  <c r="L485" i="20" s="1"/>
  <c r="L484" i="20" s="1"/>
  <c r="L481" i="20" s="1"/>
  <c r="AS485" i="20"/>
  <c r="AS484" i="20" s="1"/>
  <c r="AS481" i="20" s="1"/>
  <c r="AR485" i="20"/>
  <c r="AR484" i="20" s="1"/>
  <c r="AQ485" i="20"/>
  <c r="AQ484" i="20" s="1"/>
  <c r="AO485" i="20"/>
  <c r="AO484" i="20" s="1"/>
  <c r="AO481" i="20" s="1"/>
  <c r="AN485" i="20"/>
  <c r="AN484" i="20" s="1"/>
  <c r="AN481" i="20" s="1"/>
  <c r="AM485" i="20"/>
  <c r="AM484" i="20" s="1"/>
  <c r="AL485" i="20"/>
  <c r="BG485" i="20" s="1"/>
  <c r="AI485" i="20"/>
  <c r="AI484" i="20" s="1"/>
  <c r="AH485" i="20"/>
  <c r="AH484" i="20" s="1"/>
  <c r="AH481" i="20" s="1"/>
  <c r="AG485" i="20"/>
  <c r="AG484" i="20" s="1"/>
  <c r="AG481" i="20" s="1"/>
  <c r="AF485" i="20"/>
  <c r="AF484" i="20" s="1"/>
  <c r="AF481" i="20" s="1"/>
  <c r="AE485" i="20"/>
  <c r="AE484" i="20" s="1"/>
  <c r="AD485" i="20"/>
  <c r="AD484" i="20" s="1"/>
  <c r="AD481" i="20" s="1"/>
  <c r="AC485" i="20"/>
  <c r="AC484" i="20" s="1"/>
  <c r="AC481" i="20" s="1"/>
  <c r="AB485" i="20"/>
  <c r="AB484" i="20" s="1"/>
  <c r="AB481" i="20" s="1"/>
  <c r="AA485" i="20"/>
  <c r="AA484" i="20" s="1"/>
  <c r="Z485" i="20"/>
  <c r="Z484" i="20" s="1"/>
  <c r="Z481" i="20" s="1"/>
  <c r="Y485" i="20"/>
  <c r="Y484" i="20" s="1"/>
  <c r="Y481" i="20" s="1"/>
  <c r="X485" i="20"/>
  <c r="X484" i="20" s="1"/>
  <c r="X481" i="20" s="1"/>
  <c r="W485" i="20"/>
  <c r="W484" i="20" s="1"/>
  <c r="V485" i="20"/>
  <c r="V484" i="20" s="1"/>
  <c r="V481" i="20" s="1"/>
  <c r="U485" i="20"/>
  <c r="U484" i="20" s="1"/>
  <c r="U481" i="20" s="1"/>
  <c r="T485" i="20"/>
  <c r="T484" i="20" s="1"/>
  <c r="T481" i="20" s="1"/>
  <c r="S485" i="20"/>
  <c r="S484" i="20" s="1"/>
  <c r="R485" i="20"/>
  <c r="R484" i="20" s="1"/>
  <c r="R481" i="20" s="1"/>
  <c r="Q485" i="20"/>
  <c r="Q484" i="20" s="1"/>
  <c r="Q481" i="20" s="1"/>
  <c r="P485" i="20"/>
  <c r="P484" i="20" s="1"/>
  <c r="P481" i="20" s="1"/>
  <c r="O485" i="20"/>
  <c r="O484" i="20" s="1"/>
  <c r="N485" i="20"/>
  <c r="N484" i="20" s="1"/>
  <c r="N481" i="20" s="1"/>
  <c r="M485" i="20"/>
  <c r="M484" i="20" s="1"/>
  <c r="M481" i="20" s="1"/>
  <c r="K485" i="20"/>
  <c r="K484" i="20" s="1"/>
  <c r="K481" i="20" s="1"/>
  <c r="AK484" i="20"/>
  <c r="AK481" i="20" s="1"/>
  <c r="AJ484" i="20"/>
  <c r="AJ481" i="20" s="1"/>
  <c r="S481" i="20" l="1"/>
  <c r="AA481" i="20"/>
  <c r="AI481" i="20"/>
  <c r="AQ481" i="20"/>
  <c r="AT484" i="20" s="1"/>
  <c r="O481" i="20"/>
  <c r="W481" i="20"/>
  <c r="AE481" i="20"/>
  <c r="AM481" i="20"/>
  <c r="AR481" i="20"/>
  <c r="BG495" i="20"/>
  <c r="AL494" i="20"/>
  <c r="BG494" i="20" s="1"/>
  <c r="AL487" i="20"/>
  <c r="BG487" i="20" s="1"/>
  <c r="AL484" i="20"/>
  <c r="BB481" i="20"/>
  <c r="BC481" i="20" s="1"/>
  <c r="BG501" i="20"/>
  <c r="AL500" i="20"/>
  <c r="BG500" i="20" s="1"/>
  <c r="BG491" i="20"/>
  <c r="AL490" i="20"/>
  <c r="AP491" i="20"/>
  <c r="AP490" i="20" s="1"/>
  <c r="AP495" i="20"/>
  <c r="AP494" i="20" s="1"/>
  <c r="AP481" i="20" s="1"/>
  <c r="AP501" i="20"/>
  <c r="AP500" i="20" s="1"/>
  <c r="AP430" i="20"/>
  <c r="S430" i="20"/>
  <c r="AL481" i="20" l="1"/>
  <c r="BG481" i="20" s="1"/>
  <c r="BG484" i="20"/>
  <c r="AU481" i="20"/>
  <c r="AV481" i="20"/>
  <c r="BG490" i="20"/>
  <c r="AP425" i="20"/>
  <c r="AI424" i="20"/>
  <c r="BF219" i="20" l="1"/>
  <c r="S219" i="20"/>
  <c r="S216" i="20" s="1"/>
  <c r="AP219" i="20"/>
  <c r="BF433" i="20"/>
  <c r="AP433" i="20"/>
  <c r="BF292" i="20"/>
  <c r="AP292" i="20"/>
  <c r="K295" i="20" l="1"/>
  <c r="BF430" i="20" l="1"/>
  <c r="L422" i="20"/>
  <c r="M422" i="20"/>
  <c r="N422" i="20"/>
  <c r="O422" i="20"/>
  <c r="P422" i="20"/>
  <c r="U422" i="20"/>
  <c r="V422" i="20"/>
  <c r="W422" i="20"/>
  <c r="X422" i="20"/>
  <c r="Y422" i="20"/>
  <c r="Z422" i="20"/>
  <c r="AA422" i="20"/>
  <c r="AB422" i="20"/>
  <c r="AC422" i="20"/>
  <c r="AD422" i="20"/>
  <c r="AE422" i="20"/>
  <c r="AF422" i="20"/>
  <c r="AG422" i="20"/>
  <c r="AJ422" i="20"/>
  <c r="AK422" i="20"/>
  <c r="AO422" i="20"/>
  <c r="AR422" i="20"/>
  <c r="AS422" i="20"/>
  <c r="AR420" i="20"/>
  <c r="AR56" i="20"/>
  <c r="AP426" i="20" l="1"/>
  <c r="AP231" i="20" l="1"/>
  <c r="BF429" i="20" l="1"/>
  <c r="AP429" i="20" l="1"/>
  <c r="S429" i="20"/>
  <c r="BF416" i="20" l="1"/>
  <c r="L413" i="20"/>
  <c r="M413" i="20"/>
  <c r="N413" i="20"/>
  <c r="O413" i="20"/>
  <c r="P413" i="20"/>
  <c r="S413" i="20"/>
  <c r="T413" i="20"/>
  <c r="U413" i="20"/>
  <c r="V413" i="20"/>
  <c r="W413" i="20"/>
  <c r="X413" i="20"/>
  <c r="Y413" i="20"/>
  <c r="Z413" i="20"/>
  <c r="AA413" i="20"/>
  <c r="AB413" i="20"/>
  <c r="AC413" i="20"/>
  <c r="AD413" i="20"/>
  <c r="AE413" i="20"/>
  <c r="AF413" i="20"/>
  <c r="AG413" i="20"/>
  <c r="AJ413" i="20"/>
  <c r="AK413" i="20"/>
  <c r="AR413" i="20"/>
  <c r="AS413" i="20"/>
  <c r="K413" i="20"/>
  <c r="AP416" i="20"/>
  <c r="AU416" i="20" s="1"/>
  <c r="BD416" i="20"/>
  <c r="AX416" i="20"/>
  <c r="AY416" i="20" s="1"/>
  <c r="AW416" i="20"/>
  <c r="AV416" i="20"/>
  <c r="AO416" i="20"/>
  <c r="AN416" i="20"/>
  <c r="AM416" i="20"/>
  <c r="AI416" i="20"/>
  <c r="AH416" i="20"/>
  <c r="R416" i="20"/>
  <c r="Q416" i="20"/>
  <c r="AL416" i="20" l="1"/>
  <c r="BG416" i="20" s="1"/>
  <c r="AP230" i="20" l="1"/>
  <c r="AV370" i="20" l="1"/>
  <c r="AU370" i="20"/>
  <c r="AO370" i="20"/>
  <c r="AN370" i="20"/>
  <c r="AM370" i="20"/>
  <c r="AL370" i="20"/>
  <c r="BG370" i="20" s="1"/>
  <c r="R370" i="20"/>
  <c r="Q370" i="20"/>
  <c r="AV369" i="20"/>
  <c r="AU369" i="20"/>
  <c r="AO369" i="20"/>
  <c r="AN369" i="20"/>
  <c r="AM369" i="20"/>
  <c r="AL369" i="20"/>
  <c r="BG369" i="20" s="1"/>
  <c r="R369" i="20"/>
  <c r="Q369" i="20"/>
  <c r="AV368" i="20"/>
  <c r="AU368" i="20"/>
  <c r="AO368" i="20"/>
  <c r="AN368" i="20"/>
  <c r="AM368" i="20"/>
  <c r="AL368" i="20"/>
  <c r="BG368" i="20" s="1"/>
  <c r="R368" i="20"/>
  <c r="Q368" i="20"/>
  <c r="AV367" i="20"/>
  <c r="AU367" i="20"/>
  <c r="AO367" i="20"/>
  <c r="AN367" i="20"/>
  <c r="AM367" i="20"/>
  <c r="AL367" i="20"/>
  <c r="BG367" i="20" s="1"/>
  <c r="R367" i="20"/>
  <c r="Q367" i="20"/>
  <c r="AV366" i="20"/>
  <c r="AU366" i="20"/>
  <c r="AO366" i="20"/>
  <c r="AN366" i="20"/>
  <c r="AM366" i="20"/>
  <c r="AL366" i="20"/>
  <c r="BG366" i="20" s="1"/>
  <c r="R366" i="20"/>
  <c r="Q366" i="20"/>
  <c r="AV365" i="20"/>
  <c r="AU365" i="20"/>
  <c r="AO365" i="20"/>
  <c r="AN365" i="20"/>
  <c r="AM365" i="20"/>
  <c r="AL365" i="20"/>
  <c r="BG365" i="20" s="1"/>
  <c r="R365" i="20"/>
  <c r="Q365" i="20"/>
  <c r="AV364" i="20"/>
  <c r="AU364" i="20"/>
  <c r="AO364" i="20"/>
  <c r="AN364" i="20"/>
  <c r="AM364" i="20"/>
  <c r="AL364" i="20"/>
  <c r="BG364" i="20" s="1"/>
  <c r="R364" i="20"/>
  <c r="Q364" i="20"/>
  <c r="AS363" i="20"/>
  <c r="AS362" i="20" s="1"/>
  <c r="AS359" i="20" s="1"/>
  <c r="AS358" i="20" s="1"/>
  <c r="AR363" i="20"/>
  <c r="AQ362" i="20"/>
  <c r="AI363" i="20"/>
  <c r="AI362" i="20" s="1"/>
  <c r="AI359" i="20" s="1"/>
  <c r="AI358" i="20" s="1"/>
  <c r="AH363" i="20"/>
  <c r="AH362" i="20" s="1"/>
  <c r="AH359" i="20" s="1"/>
  <c r="AH358" i="20" s="1"/>
  <c r="AG363" i="20"/>
  <c r="AG362" i="20" s="1"/>
  <c r="AG359" i="20" s="1"/>
  <c r="AG358" i="20" s="1"/>
  <c r="AF363" i="20"/>
  <c r="AE363" i="20"/>
  <c r="AE362" i="20" s="1"/>
  <c r="AE359" i="20" s="1"/>
  <c r="AE358" i="20" s="1"/>
  <c r="AD363" i="20"/>
  <c r="AD362" i="20" s="1"/>
  <c r="AD359" i="20" s="1"/>
  <c r="AD358" i="20" s="1"/>
  <c r="AC363" i="20"/>
  <c r="AC362" i="20" s="1"/>
  <c r="AC359" i="20" s="1"/>
  <c r="AC358" i="20" s="1"/>
  <c r="AB363" i="20"/>
  <c r="AB362" i="20" s="1"/>
  <c r="AB359" i="20" s="1"/>
  <c r="AB358" i="20" s="1"/>
  <c r="AA363" i="20"/>
  <c r="AA362" i="20" s="1"/>
  <c r="AA359" i="20" s="1"/>
  <c r="AA358" i="20" s="1"/>
  <c r="Z363" i="20"/>
  <c r="Z362" i="20" s="1"/>
  <c r="Z359" i="20" s="1"/>
  <c r="Z358" i="20" s="1"/>
  <c r="Y363" i="20"/>
  <c r="Y362" i="20" s="1"/>
  <c r="Y359" i="20" s="1"/>
  <c r="Y358" i="20" s="1"/>
  <c r="X363" i="20"/>
  <c r="X362" i="20" s="1"/>
  <c r="X359" i="20" s="1"/>
  <c r="X358" i="20" s="1"/>
  <c r="V363" i="20"/>
  <c r="V362" i="20" s="1"/>
  <c r="U363" i="20"/>
  <c r="U362" i="20" s="1"/>
  <c r="U359" i="20" s="1"/>
  <c r="U358" i="20" s="1"/>
  <c r="T363" i="20"/>
  <c r="T362" i="20" s="1"/>
  <c r="T359" i="20" s="1"/>
  <c r="T358" i="20" s="1"/>
  <c r="S363" i="20"/>
  <c r="S362" i="20" s="1"/>
  <c r="S359" i="20" s="1"/>
  <c r="S358" i="20" s="1"/>
  <c r="P363" i="20"/>
  <c r="P362" i="20" s="1"/>
  <c r="P359" i="20" s="1"/>
  <c r="P358" i="20" s="1"/>
  <c r="O363" i="20"/>
  <c r="N363" i="20"/>
  <c r="N362" i="20" s="1"/>
  <c r="N359" i="20" s="1"/>
  <c r="N358" i="20" s="1"/>
  <c r="M363" i="20"/>
  <c r="M362" i="20" s="1"/>
  <c r="M359" i="20" s="1"/>
  <c r="M358" i="20" s="1"/>
  <c r="L363" i="20"/>
  <c r="L362" i="20" s="1"/>
  <c r="L359" i="20" s="1"/>
  <c r="L358" i="20" s="1"/>
  <c r="K363" i="20"/>
  <c r="K362" i="20" s="1"/>
  <c r="K359" i="20" s="1"/>
  <c r="K358" i="20" s="1"/>
  <c r="AR362" i="20"/>
  <c r="AR359" i="20" s="1"/>
  <c r="AR358" i="20" s="1"/>
  <c r="AF362" i="20"/>
  <c r="AF359" i="20" s="1"/>
  <c r="AF358" i="20" s="1"/>
  <c r="O362" i="20"/>
  <c r="O359" i="20" s="1"/>
  <c r="O358" i="20" s="1"/>
  <c r="AV361" i="20"/>
  <c r="AU361" i="20"/>
  <c r="AO361" i="20"/>
  <c r="AN361" i="20"/>
  <c r="AM361" i="20"/>
  <c r="AL361" i="20"/>
  <c r="BG361" i="20" s="1"/>
  <c r="R361" i="20"/>
  <c r="Q361" i="20"/>
  <c r="AV360" i="20"/>
  <c r="AU360" i="20"/>
  <c r="AO360" i="20"/>
  <c r="AN360" i="20"/>
  <c r="AM360" i="20"/>
  <c r="AL360" i="20"/>
  <c r="BG360" i="20" s="1"/>
  <c r="R360" i="20"/>
  <c r="Q360" i="20"/>
  <c r="AQ358" i="20"/>
  <c r="AP359" i="20"/>
  <c r="AV357" i="20"/>
  <c r="AU357" i="20"/>
  <c r="AO357" i="20"/>
  <c r="AN357" i="20"/>
  <c r="AM357" i="20"/>
  <c r="AL357" i="20"/>
  <c r="BG357" i="20" s="1"/>
  <c r="AI357" i="20"/>
  <c r="AH357" i="20"/>
  <c r="R357" i="20"/>
  <c r="Q357" i="20"/>
  <c r="AV356" i="20"/>
  <c r="AU356" i="20"/>
  <c r="AO356" i="20"/>
  <c r="AN356" i="20"/>
  <c r="AM356" i="20"/>
  <c r="AI356" i="20"/>
  <c r="AH356" i="20"/>
  <c r="R356" i="20"/>
  <c r="Q356" i="20"/>
  <c r="BF355" i="20"/>
  <c r="AV355" i="20"/>
  <c r="AU355" i="20"/>
  <c r="AO355" i="20"/>
  <c r="AN355" i="20"/>
  <c r="AM355" i="20"/>
  <c r="AL355" i="20"/>
  <c r="BG355" i="20" s="1"/>
  <c r="AI355" i="20"/>
  <c r="AH355" i="20"/>
  <c r="R355" i="20"/>
  <c r="Q355" i="20"/>
  <c r="AV354" i="20"/>
  <c r="AU354" i="20"/>
  <c r="AO354" i="20"/>
  <c r="AN354" i="20"/>
  <c r="AM354" i="20"/>
  <c r="AL354" i="20"/>
  <c r="AI354" i="20"/>
  <c r="AH354" i="20"/>
  <c r="R354" i="20"/>
  <c r="Q354" i="20"/>
  <c r="AS353" i="20"/>
  <c r="AS352" i="20" s="1"/>
  <c r="AR353" i="20"/>
  <c r="AR352" i="20" s="1"/>
  <c r="AQ352" i="20"/>
  <c r="AG353" i="20"/>
  <c r="AF353" i="20"/>
  <c r="AF352" i="20" s="1"/>
  <c r="AE353" i="20"/>
  <c r="AE352" i="20" s="1"/>
  <c r="AD353" i="20"/>
  <c r="AD352" i="20" s="1"/>
  <c r="AC353" i="20"/>
  <c r="AC352" i="20" s="1"/>
  <c r="AB353" i="20"/>
  <c r="AB352" i="20" s="1"/>
  <c r="AA353" i="20"/>
  <c r="AA352" i="20" s="1"/>
  <c r="Z353" i="20"/>
  <c r="Z352" i="20" s="1"/>
  <c r="Y353" i="20"/>
  <c r="Y352" i="20" s="1"/>
  <c r="X353" i="20"/>
  <c r="X352" i="20" s="1"/>
  <c r="V353" i="20"/>
  <c r="V352" i="20" s="1"/>
  <c r="U353" i="20"/>
  <c r="U352" i="20" s="1"/>
  <c r="T353" i="20"/>
  <c r="T352" i="20" s="1"/>
  <c r="S353" i="20"/>
  <c r="S352" i="20" s="1"/>
  <c r="P353" i="20"/>
  <c r="P352" i="20" s="1"/>
  <c r="O353" i="20"/>
  <c r="O352" i="20" s="1"/>
  <c r="N353" i="20"/>
  <c r="N352" i="20" s="1"/>
  <c r="M353" i="20"/>
  <c r="M352" i="20" s="1"/>
  <c r="L353" i="20"/>
  <c r="L352" i="20" s="1"/>
  <c r="K353" i="20"/>
  <c r="K352" i="20" s="1"/>
  <c r="AG352" i="20"/>
  <c r="AV351" i="20"/>
  <c r="AU351" i="20"/>
  <c r="AO351" i="20"/>
  <c r="AN351" i="20"/>
  <c r="AM351" i="20"/>
  <c r="AL351" i="20"/>
  <c r="BG351" i="20" s="1"/>
  <c r="AI351" i="20"/>
  <c r="AH351" i="20"/>
  <c r="R351" i="20"/>
  <c r="Q351" i="20"/>
  <c r="BG350" i="20"/>
  <c r="AV350" i="20"/>
  <c r="AU350" i="20"/>
  <c r="H350" i="20"/>
  <c r="H349" i="20" s="1"/>
  <c r="AP119" i="20"/>
  <c r="AO363" i="20" l="1"/>
  <c r="AO362" i="20" s="1"/>
  <c r="AO359" i="20" s="1"/>
  <c r="AO358" i="20" s="1"/>
  <c r="AL356" i="20"/>
  <c r="BG356" i="20" s="1"/>
  <c r="AP353" i="20"/>
  <c r="AP352" i="20" s="1"/>
  <c r="AU352" i="20" s="1"/>
  <c r="Q353" i="20"/>
  <c r="Q352" i="20" s="1"/>
  <c r="AU359" i="20"/>
  <c r="AI353" i="20"/>
  <c r="AI352" i="20" s="1"/>
  <c r="AI349" i="20" s="1"/>
  <c r="AO353" i="20"/>
  <c r="AO352" i="20" s="1"/>
  <c r="U349" i="20"/>
  <c r="AD349" i="20"/>
  <c r="AQ349" i="20"/>
  <c r="AM353" i="20"/>
  <c r="AM352" i="20" s="1"/>
  <c r="Y349" i="20"/>
  <c r="T349" i="20"/>
  <c r="AC349" i="20"/>
  <c r="BG354" i="20"/>
  <c r="R353" i="20"/>
  <c r="R352" i="20" s="1"/>
  <c r="L349" i="20"/>
  <c r="AP358" i="20"/>
  <c r="AU358" i="20" s="1"/>
  <c r="P349" i="20"/>
  <c r="AG349" i="20"/>
  <c r="AH353" i="20"/>
  <c r="AH352" i="20" s="1"/>
  <c r="AH349" i="20" s="1"/>
  <c r="Z349" i="20"/>
  <c r="AP363" i="20"/>
  <c r="M349" i="20"/>
  <c r="K349" i="20"/>
  <c r="O349" i="20"/>
  <c r="S349" i="20"/>
  <c r="X349" i="20"/>
  <c r="AB349" i="20"/>
  <c r="AF349" i="20"/>
  <c r="AN353" i="20"/>
  <c r="AN352" i="20" s="1"/>
  <c r="AN363" i="20"/>
  <c r="AN362" i="20" s="1"/>
  <c r="AN359" i="20" s="1"/>
  <c r="AN358" i="20" s="1"/>
  <c r="AM363" i="20"/>
  <c r="AM362" i="20" s="1"/>
  <c r="AM359" i="20" s="1"/>
  <c r="AM358" i="20" s="1"/>
  <c r="AS349" i="20"/>
  <c r="AR349" i="20"/>
  <c r="N349" i="20"/>
  <c r="AA349" i="20"/>
  <c r="AE349" i="20"/>
  <c r="AV362" i="20"/>
  <c r="V359" i="20"/>
  <c r="V358" i="20" s="1"/>
  <c r="V349" i="20" s="1"/>
  <c r="AL363" i="20"/>
  <c r="AP133" i="20"/>
  <c r="AU353" i="20" l="1"/>
  <c r="AL353" i="20"/>
  <c r="AL352" i="20" s="1"/>
  <c r="BG352" i="20" s="1"/>
  <c r="AO349" i="20"/>
  <c r="AM349" i="20"/>
  <c r="AU363" i="20"/>
  <c r="AP362" i="20"/>
  <c r="AN349" i="20"/>
  <c r="AV349" i="20"/>
  <c r="BG363" i="20"/>
  <c r="AL362" i="20"/>
  <c r="T306" i="20"/>
  <c r="U306" i="20"/>
  <c r="V306" i="20"/>
  <c r="W306" i="20"/>
  <c r="X306" i="20"/>
  <c r="Y306" i="20"/>
  <c r="Z306" i="20"/>
  <c r="AA306" i="20"/>
  <c r="AB306" i="20"/>
  <c r="AC306" i="20"/>
  <c r="AD306" i="20"/>
  <c r="AE306" i="20"/>
  <c r="AF306" i="20"/>
  <c r="AG306" i="20"/>
  <c r="AJ306" i="20"/>
  <c r="AK306" i="20"/>
  <c r="AR306" i="20"/>
  <c r="AS306" i="20"/>
  <c r="AP308" i="20"/>
  <c r="AP307" i="20"/>
  <c r="S306" i="20"/>
  <c r="BG353" i="20" l="1"/>
  <c r="AP306" i="20"/>
  <c r="AU362" i="20"/>
  <c r="AP349" i="20"/>
  <c r="AU349" i="20" s="1"/>
  <c r="AL359" i="20"/>
  <c r="BG362" i="20"/>
  <c r="AP70" i="20"/>
  <c r="BG359" i="20" l="1"/>
  <c r="AL358" i="20"/>
  <c r="BG358" i="20" l="1"/>
  <c r="AL349" i="20"/>
  <c r="BG349" i="20" s="1"/>
  <c r="AM517" i="20" l="1"/>
  <c r="AP517" i="20"/>
  <c r="AL517" i="20" s="1"/>
  <c r="BG517" i="20" s="1"/>
  <c r="T424" i="20"/>
  <c r="T422" i="20" s="1"/>
  <c r="AP337" i="20"/>
  <c r="AP338" i="20"/>
  <c r="AP339" i="20"/>
  <c r="AP340" i="20"/>
  <c r="AP336" i="20"/>
  <c r="AP187" i="20"/>
  <c r="AP163" i="20"/>
  <c r="AP53" i="20"/>
  <c r="AU53" i="20" s="1"/>
  <c r="AP333" i="20" l="1"/>
  <c r="AU517" i="20"/>
  <c r="AP228" i="20"/>
  <c r="AP330" i="20"/>
  <c r="S325" i="20"/>
  <c r="AP331" i="20"/>
  <c r="BF175" i="20" l="1"/>
  <c r="L174" i="20"/>
  <c r="M174" i="20"/>
  <c r="N174" i="20"/>
  <c r="O174" i="20"/>
  <c r="P174" i="20"/>
  <c r="Q174" i="20"/>
  <c r="R174" i="20"/>
  <c r="T174" i="20"/>
  <c r="U174" i="20"/>
  <c r="V174" i="20"/>
  <c r="W174" i="20"/>
  <c r="X174" i="20"/>
  <c r="Y174" i="20"/>
  <c r="Z174" i="20"/>
  <c r="AA174" i="20"/>
  <c r="AB174" i="20"/>
  <c r="AC174" i="20"/>
  <c r="AD174" i="20"/>
  <c r="AE174" i="20"/>
  <c r="AF174" i="20"/>
  <c r="AG174" i="20"/>
  <c r="AH174" i="20"/>
  <c r="AI174" i="20"/>
  <c r="AJ174" i="20"/>
  <c r="AK174" i="20"/>
  <c r="AL174" i="20"/>
  <c r="AM174" i="20"/>
  <c r="AN174" i="20"/>
  <c r="AO174" i="20"/>
  <c r="AQ174" i="20"/>
  <c r="AR174" i="20"/>
  <c r="AS174" i="20"/>
  <c r="AP175" i="20"/>
  <c r="AP174" i="20" s="1"/>
  <c r="S175" i="20"/>
  <c r="S174" i="20" s="1"/>
  <c r="K133" i="20" l="1"/>
  <c r="K132" i="20" s="1"/>
  <c r="S133" i="20"/>
  <c r="AP193" i="20" l="1"/>
  <c r="AP190" i="20"/>
  <c r="AP180" i="20"/>
  <c r="BF83" i="20" l="1"/>
  <c r="BF265" i="20" l="1"/>
  <c r="AP265" i="20"/>
  <c r="AP264" i="20" s="1"/>
  <c r="AX265" i="20"/>
  <c r="AY265" i="20" s="1"/>
  <c r="AW265" i="20"/>
  <c r="AV265" i="20"/>
  <c r="AO265" i="20"/>
  <c r="AO264" i="20" s="1"/>
  <c r="AN265" i="20"/>
  <c r="AN264" i="20" s="1"/>
  <c r="AM265" i="20"/>
  <c r="AM264" i="20" s="1"/>
  <c r="AI265" i="20"/>
  <c r="AI264" i="20" s="1"/>
  <c r="AH265" i="20"/>
  <c r="AH264" i="20" s="1"/>
  <c r="R265" i="20"/>
  <c r="R264" i="20" s="1"/>
  <c r="Q265" i="20"/>
  <c r="Q264" i="20" s="1"/>
  <c r="K265" i="20"/>
  <c r="K264" i="20" s="1"/>
  <c r="AP261" i="20"/>
  <c r="AP260" i="20"/>
  <c r="AP259" i="20"/>
  <c r="AP258" i="20"/>
  <c r="AP257" i="20"/>
  <c r="AL265" i="20" l="1"/>
  <c r="BG265" i="20" s="1"/>
  <c r="AU265" i="20"/>
  <c r="AP224" i="20"/>
  <c r="AL264" i="20" l="1"/>
  <c r="BG264" i="20" s="1"/>
  <c r="AP299" i="20"/>
  <c r="AP229" i="20"/>
  <c r="AP199" i="20"/>
  <c r="AQ110" i="20" l="1"/>
  <c r="T43" i="20" l="1"/>
  <c r="W43" i="20" l="1"/>
  <c r="W42" i="20" s="1"/>
  <c r="W62" i="20"/>
  <c r="AF460" i="20"/>
  <c r="AB460" i="20"/>
  <c r="AB459" i="20"/>
  <c r="W457" i="20"/>
  <c r="W456" i="20" s="1"/>
  <c r="W455" i="20" s="1"/>
  <c r="W452" i="20"/>
  <c r="W451" i="20" s="1"/>
  <c r="W445" i="20"/>
  <c r="W444" i="20" s="1"/>
  <c r="W443" i="20" s="1"/>
  <c r="W440" i="20"/>
  <c r="W438" i="20"/>
  <c r="W421" i="20"/>
  <c r="AP415" i="20"/>
  <c r="W407" i="20"/>
  <c r="W399" i="20"/>
  <c r="AP396" i="20"/>
  <c r="AP395" i="20" s="1"/>
  <c r="W395" i="20"/>
  <c r="W346" i="20"/>
  <c r="W345" i="20" s="1"/>
  <c r="W324" i="20"/>
  <c r="W323" i="20" s="1"/>
  <c r="AP317" i="20"/>
  <c r="W313" i="20"/>
  <c r="W312" i="20" s="1"/>
  <c r="W305" i="20"/>
  <c r="W304" i="20" s="1"/>
  <c r="W290" i="20"/>
  <c r="W289" i="20" s="1"/>
  <c r="W286" i="20"/>
  <c r="W285" i="20" s="1"/>
  <c r="W283" i="20"/>
  <c r="W282" i="20" s="1"/>
  <c r="W278" i="20"/>
  <c r="W263" i="20"/>
  <c r="W262" i="20"/>
  <c r="W260" i="20"/>
  <c r="W259" i="20"/>
  <c r="W258" i="20"/>
  <c r="W257" i="20"/>
  <c r="W252" i="20"/>
  <c r="W251" i="20" s="1"/>
  <c r="W234" i="20"/>
  <c r="W227" i="20"/>
  <c r="W226" i="20" s="1"/>
  <c r="W223" i="20"/>
  <c r="W222" i="20" s="1"/>
  <c r="W208" i="20"/>
  <c r="W207" i="20" s="1"/>
  <c r="W203" i="20"/>
  <c r="W202" i="20" s="1"/>
  <c r="W199" i="20"/>
  <c r="W192" i="20"/>
  <c r="W191" i="20" s="1"/>
  <c r="W186" i="20"/>
  <c r="X183" i="20"/>
  <c r="X180" i="20"/>
  <c r="W173" i="20"/>
  <c r="W161" i="20"/>
  <c r="W160" i="20" s="1"/>
  <c r="W155" i="20"/>
  <c r="W152" i="20"/>
  <c r="W151" i="20"/>
  <c r="W141" i="20"/>
  <c r="W140" i="20" s="1"/>
  <c r="W124" i="20"/>
  <c r="W123" i="20" s="1"/>
  <c r="W110" i="20"/>
  <c r="W103" i="20"/>
  <c r="W88" i="20"/>
  <c r="W118" i="20" l="1"/>
  <c r="W117" i="20" s="1"/>
  <c r="W116" i="20" s="1"/>
  <c r="W90" i="20"/>
  <c r="W87" i="20" s="1"/>
  <c r="W149" i="20"/>
  <c r="W146" i="20" s="1"/>
  <c r="W139" i="20" s="1"/>
  <c r="W68" i="20"/>
  <c r="W67" i="20" s="1"/>
  <c r="W255" i="20"/>
  <c r="W254" i="20" s="1"/>
  <c r="W250" i="20" s="1"/>
  <c r="W94" i="20"/>
  <c r="W93" i="20" s="1"/>
  <c r="W198" i="20"/>
  <c r="W197" i="20" s="1"/>
  <c r="W196" i="20" s="1"/>
  <c r="W179" i="20"/>
  <c r="W178" i="20" s="1"/>
  <c r="W188" i="20"/>
  <c r="W185" i="20" s="1"/>
  <c r="W61" i="20"/>
  <c r="W402" i="20"/>
  <c r="W398" i="20" s="1"/>
  <c r="W437" i="20"/>
  <c r="W436" i="20" s="1"/>
  <c r="W277" i="20"/>
  <c r="W221" i="20"/>
  <c r="W60" i="20" l="1"/>
  <c r="W172" i="20"/>
  <c r="W86" i="20"/>
  <c r="L54" i="22"/>
  <c r="L55" i="22"/>
  <c r="L56" i="22"/>
  <c r="L65" i="22"/>
  <c r="AP45" i="20" l="1"/>
  <c r="AH44" i="20" l="1"/>
  <c r="AP293" i="20"/>
  <c r="AJ55" i="20"/>
  <c r="AK55" i="20"/>
  <c r="AP56" i="20"/>
  <c r="L223" i="20"/>
  <c r="M223" i="20"/>
  <c r="N223" i="20"/>
  <c r="O223" i="20"/>
  <c r="P223" i="20"/>
  <c r="T223" i="20"/>
  <c r="U223" i="20"/>
  <c r="V223" i="20"/>
  <c r="Z223" i="20"/>
  <c r="AA223" i="20"/>
  <c r="AB223" i="20"/>
  <c r="AC223" i="20"/>
  <c r="AD223" i="20"/>
  <c r="AE223" i="20"/>
  <c r="AF223" i="20"/>
  <c r="AG223" i="20"/>
  <c r="AJ223" i="20"/>
  <c r="AK223" i="20"/>
  <c r="AR223" i="20"/>
  <c r="AS223" i="20"/>
  <c r="K223" i="20"/>
  <c r="AP225" i="20"/>
  <c r="AP223" i="20" s="1"/>
  <c r="AH225" i="20"/>
  <c r="S225" i="20"/>
  <c r="S329" i="20"/>
  <c r="S327" i="20" s="1"/>
  <c r="L329" i="20"/>
  <c r="L327" i="20" s="1"/>
  <c r="AC48" i="20" l="1"/>
  <c r="AD48" i="20"/>
  <c r="AE48" i="20"/>
  <c r="AF48" i="20"/>
  <c r="AG48" i="20"/>
  <c r="AB48" i="20"/>
  <c r="AV51" i="20"/>
  <c r="AP51" i="20"/>
  <c r="AL51" i="20" s="1"/>
  <c r="BG51" i="20" s="1"/>
  <c r="AO51" i="20"/>
  <c r="AN51" i="20"/>
  <c r="AM51" i="20"/>
  <c r="AI51" i="20"/>
  <c r="AH51" i="20"/>
  <c r="R51" i="20"/>
  <c r="Q51" i="20"/>
  <c r="AV50" i="20"/>
  <c r="AP50" i="20"/>
  <c r="AL50" i="20" s="1"/>
  <c r="BG50" i="20" s="1"/>
  <c r="AO50" i="20"/>
  <c r="AN50" i="20"/>
  <c r="AM50" i="20"/>
  <c r="AI50" i="20"/>
  <c r="AH50" i="20"/>
  <c r="R50" i="20"/>
  <c r="Q50" i="20"/>
  <c r="AV49" i="20"/>
  <c r="AP49" i="20"/>
  <c r="AO49" i="20"/>
  <c r="AN49" i="20"/>
  <c r="AM49" i="20"/>
  <c r="AI49" i="20"/>
  <c r="AH49" i="20"/>
  <c r="R49" i="20"/>
  <c r="Q49" i="20"/>
  <c r="AP211" i="20"/>
  <c r="AH48" i="20" l="1"/>
  <c r="AO48" i="20"/>
  <c r="AI48" i="20"/>
  <c r="AN48" i="20"/>
  <c r="AU49" i="20"/>
  <c r="AP48" i="20"/>
  <c r="AM48" i="20"/>
  <c r="AL49" i="20"/>
  <c r="AU50" i="20"/>
  <c r="AU51" i="20"/>
  <c r="AP512" i="20"/>
  <c r="AP513" i="20"/>
  <c r="AP514" i="20"/>
  <c r="AP515" i="20"/>
  <c r="AP511" i="20"/>
  <c r="AP509" i="20" l="1"/>
  <c r="BG49" i="20"/>
  <c r="AL48" i="20"/>
  <c r="AI511" i="20"/>
  <c r="AP510" i="20"/>
  <c r="AP401" i="20" l="1"/>
  <c r="L459" i="20" l="1"/>
  <c r="M459" i="20"/>
  <c r="N459" i="20"/>
  <c r="O459" i="20"/>
  <c r="P459" i="20"/>
  <c r="U459" i="20"/>
  <c r="V459" i="20"/>
  <c r="W459" i="20"/>
  <c r="W449" i="20" s="1"/>
  <c r="X459" i="20"/>
  <c r="Y459" i="20"/>
  <c r="Z459" i="20"/>
  <c r="AA459" i="20"/>
  <c r="AD459" i="20"/>
  <c r="AE459" i="20"/>
  <c r="AF459" i="20"/>
  <c r="AG459" i="20"/>
  <c r="AJ459" i="20"/>
  <c r="AJ449" i="20" s="1"/>
  <c r="AK459" i="20"/>
  <c r="AK449" i="20" s="1"/>
  <c r="AQ459" i="20"/>
  <c r="AR459" i="20"/>
  <c r="AS459" i="20"/>
  <c r="K459" i="20"/>
  <c r="AP461" i="20"/>
  <c r="S461" i="20"/>
  <c r="S459" i="20" s="1"/>
  <c r="T461" i="20"/>
  <c r="T459" i="20" s="1"/>
  <c r="W435" i="20" l="1"/>
  <c r="AC509" i="20"/>
  <c r="AD509" i="20"/>
  <c r="AE509" i="20"/>
  <c r="AF509" i="20"/>
  <c r="AG509" i="20"/>
  <c r="AB509" i="20"/>
  <c r="AP519" i="20"/>
  <c r="L343" i="20" l="1"/>
  <c r="M343" i="20"/>
  <c r="N343" i="20"/>
  <c r="O343" i="20"/>
  <c r="P343" i="20"/>
  <c r="Q343" i="20"/>
  <c r="R343" i="20"/>
  <c r="T343" i="20"/>
  <c r="U343" i="20"/>
  <c r="V343" i="20"/>
  <c r="W343" i="20"/>
  <c r="W342" i="20" s="1"/>
  <c r="X343" i="20"/>
  <c r="Y343" i="20"/>
  <c r="Z343" i="20"/>
  <c r="AA343" i="20"/>
  <c r="AB343" i="20"/>
  <c r="AC343" i="20"/>
  <c r="AD343" i="20"/>
  <c r="AE343" i="20"/>
  <c r="AF343" i="20"/>
  <c r="AG343" i="20"/>
  <c r="AH343" i="20"/>
  <c r="AI343" i="20"/>
  <c r="AJ343" i="20"/>
  <c r="AJ342" i="20" s="1"/>
  <c r="AK343" i="20"/>
  <c r="AK342" i="20" s="1"/>
  <c r="AL343" i="20"/>
  <c r="AM343" i="20"/>
  <c r="AN343" i="20"/>
  <c r="AO343" i="20"/>
  <c r="AQ343" i="20"/>
  <c r="AR343" i="20"/>
  <c r="AS343" i="20"/>
  <c r="K343" i="20"/>
  <c r="AP344" i="20"/>
  <c r="AP343" i="20" s="1"/>
  <c r="S344" i="20"/>
  <c r="S343" i="20" s="1"/>
  <c r="AP236" i="20"/>
  <c r="AP235" i="20" s="1"/>
  <c r="AP212" i="20"/>
  <c r="BG343" i="20" l="1"/>
  <c r="AU343" i="20"/>
  <c r="AV343" i="20"/>
  <c r="AP432" i="20" l="1"/>
  <c r="AR417" i="20"/>
  <c r="M417" i="20"/>
  <c r="N417" i="20"/>
  <c r="O417" i="20"/>
  <c r="P417" i="20"/>
  <c r="U417" i="20"/>
  <c r="V417" i="20"/>
  <c r="W417" i="20"/>
  <c r="W412" i="20" s="1"/>
  <c r="X417" i="20"/>
  <c r="Y417" i="20"/>
  <c r="Z417" i="20"/>
  <c r="AA417" i="20"/>
  <c r="AD417" i="20"/>
  <c r="AE417" i="20"/>
  <c r="AF417" i="20"/>
  <c r="AG417" i="20"/>
  <c r="AJ417" i="20"/>
  <c r="AK417" i="20"/>
  <c r="AS417" i="20"/>
  <c r="K417" i="20"/>
  <c r="AP420" i="20"/>
  <c r="AI420" i="20"/>
  <c r="AH420" i="20" s="1"/>
  <c r="AB420" i="20" l="1"/>
  <c r="S424" i="20"/>
  <c r="T401" i="20" l="1"/>
  <c r="S401" i="20" s="1"/>
  <c r="X396" i="20" l="1"/>
  <c r="X395" i="20" s="1"/>
  <c r="AB396" i="20"/>
  <c r="AB395" i="20" s="1"/>
  <c r="W394" i="20"/>
  <c r="W393" i="20" s="1"/>
  <c r="W58" i="20" s="1"/>
  <c r="W55" i="20" s="1"/>
  <c r="AJ394" i="20"/>
  <c r="AK394" i="20"/>
  <c r="AP287" i="20" l="1"/>
  <c r="S260" i="20"/>
  <c r="S261" i="20"/>
  <c r="S262" i="20"/>
  <c r="AP263" i="20"/>
  <c r="AP255" i="20" s="1"/>
  <c r="AP479" i="20" l="1"/>
  <c r="AP478" i="20"/>
  <c r="AP477" i="20"/>
  <c r="S442" i="20" l="1"/>
  <c r="AP204" i="20"/>
  <c r="AM204" i="20" s="1"/>
  <c r="AL204" i="20" s="1"/>
  <c r="AL200" i="20"/>
  <c r="AP217" i="20"/>
  <c r="AP213" i="20"/>
  <c r="AM213" i="20" s="1"/>
  <c r="AL213" i="20" s="1"/>
  <c r="S213" i="20"/>
  <c r="K213" i="20"/>
  <c r="K214" i="20"/>
  <c r="AV217" i="20"/>
  <c r="AO217" i="20"/>
  <c r="AN217" i="20"/>
  <c r="BG217" i="20"/>
  <c r="AI217" i="20"/>
  <c r="AH217" i="20"/>
  <c r="R217" i="20"/>
  <c r="Q217" i="20"/>
  <c r="AU217" i="20" l="1"/>
  <c r="AI200" i="20"/>
  <c r="AB200" i="20"/>
  <c r="AP200" i="20"/>
  <c r="AM193" i="20"/>
  <c r="AL193" i="20" s="1"/>
  <c r="S190" i="20"/>
  <c r="AC189" i="20"/>
  <c r="AB189" i="20" s="1"/>
  <c r="S184" i="20"/>
  <c r="AL182" i="20"/>
  <c r="AP408" i="20" l="1"/>
  <c r="AP159" i="20" l="1"/>
  <c r="AP162" i="20"/>
  <c r="AL162" i="20" s="1"/>
  <c r="BG162" i="20" s="1"/>
  <c r="AP154" i="20"/>
  <c r="AV162" i="20"/>
  <c r="AN162" i="20"/>
  <c r="AM162" i="20"/>
  <c r="AI162" i="20"/>
  <c r="AH162" i="20"/>
  <c r="T162" i="20"/>
  <c r="R162" i="20"/>
  <c r="Q162" i="20"/>
  <c r="S159" i="20"/>
  <c r="AP157" i="20"/>
  <c r="AP134" i="20"/>
  <c r="AL134" i="20"/>
  <c r="BF134" i="20"/>
  <c r="AX134" i="20"/>
  <c r="AY134" i="20" s="1"/>
  <c r="AV134" i="20"/>
  <c r="AN134" i="20"/>
  <c r="AI134" i="20"/>
  <c r="AH134" i="20"/>
  <c r="R134" i="20"/>
  <c r="Q134" i="20"/>
  <c r="AM135" i="20"/>
  <c r="AP135" i="20"/>
  <c r="AU135" i="20" s="1"/>
  <c r="AV135" i="20"/>
  <c r="AN135" i="20"/>
  <c r="AI135" i="20"/>
  <c r="AH135" i="20"/>
  <c r="S135" i="20"/>
  <c r="S132" i="20" s="1"/>
  <c r="R135" i="20"/>
  <c r="Q135" i="20"/>
  <c r="AP130" i="20"/>
  <c r="AP129" i="20"/>
  <c r="AP128" i="20"/>
  <c r="AP127" i="20"/>
  <c r="AL127" i="20"/>
  <c r="AP126" i="20"/>
  <c r="AL126" i="20"/>
  <c r="K122" i="20"/>
  <c r="AP100" i="20"/>
  <c r="AP113" i="20"/>
  <c r="AU113" i="20" s="1"/>
  <c r="S113" i="20"/>
  <c r="S111" i="20" s="1"/>
  <c r="AV113" i="20"/>
  <c r="AO113" i="20"/>
  <c r="AN113" i="20"/>
  <c r="AM113" i="20"/>
  <c r="AI113" i="20"/>
  <c r="AH113" i="20"/>
  <c r="R113" i="20"/>
  <c r="Q113" i="20"/>
  <c r="AM108" i="20"/>
  <c r="AP108" i="20"/>
  <c r="AP107" i="20"/>
  <c r="AM102" i="20"/>
  <c r="AL102" i="20" s="1"/>
  <c r="AP105" i="20"/>
  <c r="AH105" i="20"/>
  <c r="AP102" i="20"/>
  <c r="AL101" i="20"/>
  <c r="AP98" i="20"/>
  <c r="AM98" i="20" s="1"/>
  <c r="AL98" i="20" s="1"/>
  <c r="K97" i="20"/>
  <c r="K94" i="20" s="1"/>
  <c r="AM96" i="20"/>
  <c r="AP92" i="20"/>
  <c r="AL73" i="20"/>
  <c r="AL69" i="20"/>
  <c r="S66" i="20"/>
  <c r="K66" i="20"/>
  <c r="AU134" i="20" l="1"/>
  <c r="BG134" i="20"/>
  <c r="AL135" i="20"/>
  <c r="BG135" i="20" s="1"/>
  <c r="T135" i="20"/>
  <c r="T132" i="20" s="1"/>
  <c r="AL113" i="20"/>
  <c r="BG113" i="20" s="1"/>
  <c r="AU162" i="20"/>
  <c r="AL79" i="20" l="1"/>
  <c r="AL78" i="20" s="1"/>
  <c r="K79" i="20"/>
  <c r="K78" i="20" s="1"/>
  <c r="S74" i="20"/>
  <c r="S75" i="20"/>
  <c r="S73" i="20"/>
  <c r="S72" i="20"/>
  <c r="E57" i="22" l="1"/>
  <c r="E53" i="22" s="1"/>
  <c r="AP47" i="20"/>
  <c r="E46" i="22"/>
  <c r="E44" i="22" s="1"/>
  <c r="F46" i="22" s="1"/>
  <c r="AP46" i="20" l="1"/>
  <c r="F44" i="22"/>
  <c r="K108" i="20"/>
  <c r="E66" i="22" l="1"/>
  <c r="E64" i="22"/>
  <c r="L57" i="22" l="1"/>
  <c r="E63" i="22"/>
  <c r="F45" i="22" s="1"/>
  <c r="J64" i="22"/>
  <c r="G47" i="22"/>
  <c r="H40" i="22"/>
  <c r="H39" i="22" s="1"/>
  <c r="G40" i="22"/>
  <c r="G39" i="22" s="1"/>
  <c r="D39" i="22"/>
  <c r="I35" i="22"/>
  <c r="I34" i="22" s="1"/>
  <c r="H35" i="22"/>
  <c r="H34" i="22" s="1"/>
  <c r="G35" i="22"/>
  <c r="G34" i="22" s="1"/>
  <c r="F35" i="22"/>
  <c r="F34" i="22" s="1"/>
  <c r="I33" i="22"/>
  <c r="I27" i="22" s="1"/>
  <c r="H33" i="22"/>
  <c r="H27" i="22" s="1"/>
  <c r="G33" i="22"/>
  <c r="G27" i="22" s="1"/>
  <c r="F33" i="22"/>
  <c r="F27" i="22" s="1"/>
  <c r="D33" i="22"/>
  <c r="D27" i="22" s="1"/>
  <c r="K32" i="22"/>
  <c r="J32" i="22"/>
  <c r="I22" i="22"/>
  <c r="I18" i="22" s="1"/>
  <c r="I17" i="22" s="1"/>
  <c r="H22" i="22"/>
  <c r="H18" i="22" s="1"/>
  <c r="H17" i="22" s="1"/>
  <c r="G22" i="22"/>
  <c r="G18" i="22" s="1"/>
  <c r="G17" i="22" s="1"/>
  <c r="F22" i="22"/>
  <c r="F18" i="22" s="1"/>
  <c r="F17" i="22" s="1"/>
  <c r="K18" i="22"/>
  <c r="J18" i="22"/>
  <c r="D17" i="22"/>
  <c r="I15" i="22"/>
  <c r="H15" i="22"/>
  <c r="G15" i="22"/>
  <c r="F15" i="22"/>
  <c r="D16" i="22"/>
  <c r="D11" i="22"/>
  <c r="E68" i="21"/>
  <c r="E54" i="21"/>
  <c r="E53" i="21"/>
  <c r="K52" i="21"/>
  <c r="F52" i="21"/>
  <c r="G52" i="21" s="1"/>
  <c r="H52" i="21" s="1"/>
  <c r="I52" i="21" s="1"/>
  <c r="L51" i="21"/>
  <c r="F51" i="21"/>
  <c r="G51" i="21" s="1"/>
  <c r="H51" i="21" s="1"/>
  <c r="I51" i="21" s="1"/>
  <c r="E50" i="21"/>
  <c r="F49" i="21"/>
  <c r="G49" i="21" s="1"/>
  <c r="H49" i="21" s="1"/>
  <c r="I49" i="21" s="1"/>
  <c r="J48" i="21"/>
  <c r="F48" i="21"/>
  <c r="G48" i="21" s="1"/>
  <c r="L47" i="21"/>
  <c r="L50" i="21" s="1"/>
  <c r="F47" i="21"/>
  <c r="G47" i="21" s="1"/>
  <c r="H47" i="21" s="1"/>
  <c r="I47" i="21" s="1"/>
  <c r="E46" i="21"/>
  <c r="E43" i="21"/>
  <c r="N42" i="21"/>
  <c r="N41" i="21" s="1"/>
  <c r="M42" i="21"/>
  <c r="M41" i="21" s="1"/>
  <c r="J42" i="21"/>
  <c r="J41" i="21" s="1"/>
  <c r="I42" i="21"/>
  <c r="I41" i="21" s="1"/>
  <c r="H42" i="21"/>
  <c r="H41" i="21" s="1"/>
  <c r="F42" i="21"/>
  <c r="D41" i="21"/>
  <c r="E40" i="21"/>
  <c r="E39" i="21"/>
  <c r="E38" i="21"/>
  <c r="O37" i="21"/>
  <c r="O36" i="21" s="1"/>
  <c r="N37" i="21"/>
  <c r="N36" i="21" s="1"/>
  <c r="M37" i="21"/>
  <c r="M36" i="21" s="1"/>
  <c r="L37" i="21"/>
  <c r="L36" i="21" s="1"/>
  <c r="K37" i="21"/>
  <c r="K36" i="21" s="1"/>
  <c r="J37" i="21"/>
  <c r="J36" i="21" s="1"/>
  <c r="I37" i="21"/>
  <c r="I36" i="21" s="1"/>
  <c r="H37" i="21"/>
  <c r="H36" i="21" s="1"/>
  <c r="G37" i="21"/>
  <c r="G36" i="21" s="1"/>
  <c r="F37" i="21"/>
  <c r="F36" i="21"/>
  <c r="O35" i="21"/>
  <c r="O29" i="21" s="1"/>
  <c r="N35" i="21"/>
  <c r="N29" i="21" s="1"/>
  <c r="M35" i="21"/>
  <c r="M29" i="21" s="1"/>
  <c r="L35" i="21"/>
  <c r="L29" i="21" s="1"/>
  <c r="K35" i="21"/>
  <c r="K29" i="21" s="1"/>
  <c r="J35" i="21"/>
  <c r="I35" i="21"/>
  <c r="I29" i="21" s="1"/>
  <c r="H35" i="21"/>
  <c r="H29" i="21" s="1"/>
  <c r="F35" i="21"/>
  <c r="F29" i="21" s="1"/>
  <c r="D35" i="21"/>
  <c r="D29" i="21" s="1"/>
  <c r="Q34" i="21"/>
  <c r="P34" i="21"/>
  <c r="G34" i="21"/>
  <c r="G35" i="21" s="1"/>
  <c r="E30" i="21"/>
  <c r="J29" i="21"/>
  <c r="O24" i="21"/>
  <c r="O20" i="21" s="1"/>
  <c r="O19" i="21" s="1"/>
  <c r="N24" i="21"/>
  <c r="N20" i="21" s="1"/>
  <c r="N19" i="21" s="1"/>
  <c r="M24" i="21"/>
  <c r="L24" i="21"/>
  <c r="K24" i="21"/>
  <c r="K20" i="21" s="1"/>
  <c r="K19" i="21" s="1"/>
  <c r="J24" i="21"/>
  <c r="J20" i="21" s="1"/>
  <c r="J19" i="21" s="1"/>
  <c r="I24" i="21"/>
  <c r="H24" i="21"/>
  <c r="H20" i="21" s="1"/>
  <c r="H19" i="21" s="1"/>
  <c r="G24" i="21"/>
  <c r="G20" i="21" s="1"/>
  <c r="G19" i="21" s="1"/>
  <c r="F24" i="21"/>
  <c r="E22" i="21"/>
  <c r="S20" i="21"/>
  <c r="Q20" i="21"/>
  <c r="P20" i="21"/>
  <c r="M20" i="21"/>
  <c r="M19" i="21" s="1"/>
  <c r="L20" i="21"/>
  <c r="L19" i="21" s="1"/>
  <c r="I20" i="21"/>
  <c r="I19" i="21" s="1"/>
  <c r="D19" i="21"/>
  <c r="O17" i="21"/>
  <c r="N17" i="21"/>
  <c r="M17" i="21"/>
  <c r="L17" i="21"/>
  <c r="K17" i="21"/>
  <c r="J17" i="21"/>
  <c r="I17" i="21"/>
  <c r="H17" i="21"/>
  <c r="G17" i="21"/>
  <c r="F17" i="21"/>
  <c r="E14" i="21"/>
  <c r="E11" i="21"/>
  <c r="D13" i="21" s="1"/>
  <c r="E37" i="21" l="1"/>
  <c r="E36" i="21"/>
  <c r="E55" i="21"/>
  <c r="E56" i="21" s="1"/>
  <c r="F50" i="21"/>
  <c r="K53" i="21"/>
  <c r="E17" i="21"/>
  <c r="K50" i="21"/>
  <c r="D69" i="22"/>
  <c r="D8" i="22"/>
  <c r="D7" i="22" s="1"/>
  <c r="E24" i="21"/>
  <c r="F20" i="21"/>
  <c r="F41" i="21"/>
  <c r="E35" i="21"/>
  <c r="G29" i="21"/>
  <c r="E29" i="21" s="1"/>
  <c r="H48" i="21"/>
  <c r="E57" i="21"/>
  <c r="J51" i="21"/>
  <c r="J49" i="21"/>
  <c r="D18" i="21"/>
  <c r="D10" i="21" s="1"/>
  <c r="D9" i="21" s="1"/>
  <c r="J47" i="21"/>
  <c r="F54" i="21"/>
  <c r="G54" i="21" s="1"/>
  <c r="H54" i="21" s="1"/>
  <c r="I54" i="21" s="1"/>
  <c r="F53" i="21"/>
  <c r="G53" i="21" s="1"/>
  <c r="H53" i="21" s="1"/>
  <c r="I53" i="21" s="1"/>
  <c r="L64" i="22" l="1"/>
  <c r="L66" i="22"/>
  <c r="G50" i="21"/>
  <c r="H50" i="21" s="1"/>
  <c r="I50" i="21" s="1"/>
  <c r="K55" i="21"/>
  <c r="K56" i="21" s="1"/>
  <c r="O50" i="21"/>
  <c r="I65" i="22"/>
  <c r="H16" i="22"/>
  <c r="H70" i="22"/>
  <c r="D58" i="21"/>
  <c r="S9" i="21"/>
  <c r="R18" i="21" s="1"/>
  <c r="E16" i="21" s="1"/>
  <c r="I48" i="21"/>
  <c r="H55" i="21"/>
  <c r="J54" i="21"/>
  <c r="F55" i="21"/>
  <c r="F19" i="21"/>
  <c r="E20" i="21"/>
  <c r="J53" i="21"/>
  <c r="S106" i="20"/>
  <c r="T105" i="20"/>
  <c r="T104" i="20" s="1"/>
  <c r="I55" i="21" l="1"/>
  <c r="G55" i="21"/>
  <c r="J50" i="21"/>
  <c r="J55" i="21" s="1"/>
  <c r="J57" i="21" s="1"/>
  <c r="I16" i="22"/>
  <c r="E69" i="22"/>
  <c r="E62" i="22" s="1"/>
  <c r="E52" i="22" s="1"/>
  <c r="F16" i="22"/>
  <c r="G16" i="22"/>
  <c r="I42" i="22"/>
  <c r="I40" i="22" s="1"/>
  <c r="I39" i="22" s="1"/>
  <c r="F42" i="22"/>
  <c r="F40" i="22" s="1"/>
  <c r="F39" i="22" s="1"/>
  <c r="H11" i="22"/>
  <c r="H8" i="22" s="1"/>
  <c r="H7" i="22" s="1"/>
  <c r="G11" i="22"/>
  <c r="F11" i="22"/>
  <c r="I11" i="22"/>
  <c r="R20" i="21"/>
  <c r="E19" i="21"/>
  <c r="R36" i="21"/>
  <c r="S34" i="21"/>
  <c r="R42" i="21"/>
  <c r="R13" i="21"/>
  <c r="R41" i="21"/>
  <c r="R29" i="21"/>
  <c r="F56" i="21"/>
  <c r="F57" i="21"/>
  <c r="H56" i="21"/>
  <c r="H57" i="21"/>
  <c r="G56" i="21"/>
  <c r="G57" i="21"/>
  <c r="M18" i="21"/>
  <c r="I18" i="21"/>
  <c r="L18" i="21"/>
  <c r="H18" i="21"/>
  <c r="O18" i="21"/>
  <c r="K18" i="21"/>
  <c r="G18" i="21"/>
  <c r="N18" i="21"/>
  <c r="J18" i="21"/>
  <c r="F18" i="21"/>
  <c r="I56" i="21"/>
  <c r="I57" i="21"/>
  <c r="S108" i="20"/>
  <c r="S107" i="20"/>
  <c r="K107" i="20"/>
  <c r="K104" i="20" s="1"/>
  <c r="K103" i="20" s="1"/>
  <c r="S104" i="20" l="1"/>
  <c r="G8" i="22"/>
  <c r="G7" i="22" s="1"/>
  <c r="I8" i="22"/>
  <c r="I7" i="22" s="1"/>
  <c r="F8" i="22"/>
  <c r="F7" i="22" s="1"/>
  <c r="D42" i="22"/>
  <c r="E18" i="21"/>
  <c r="R45" i="21"/>
  <c r="S45" i="21"/>
  <c r="S44" i="21" s="1"/>
  <c r="K57" i="21"/>
  <c r="E12" i="21"/>
  <c r="R10" i="21"/>
  <c r="S21" i="21"/>
  <c r="R19" i="21"/>
  <c r="S22" i="21"/>
  <c r="R22" i="21"/>
  <c r="BH43" i="20"/>
  <c r="K44" i="21" l="1"/>
  <c r="K42" i="21" s="1"/>
  <c r="K41" i="21" s="1"/>
  <c r="G44" i="21"/>
  <c r="O44" i="21"/>
  <c r="O42" i="21" s="1"/>
  <c r="O41" i="21" s="1"/>
  <c r="L44" i="21"/>
  <c r="L42" i="21" s="1"/>
  <c r="L41" i="21" s="1"/>
  <c r="R9" i="21"/>
  <c r="O13" i="21"/>
  <c r="O10" i="21" s="1"/>
  <c r="K13" i="21"/>
  <c r="K10" i="21" s="1"/>
  <c r="G13" i="21"/>
  <c r="G10" i="21" s="1"/>
  <c r="N13" i="21"/>
  <c r="N10" i="21" s="1"/>
  <c r="N9" i="21" s="1"/>
  <c r="N58" i="21" s="1"/>
  <c r="J13" i="21"/>
  <c r="J10" i="21" s="1"/>
  <c r="J9" i="21" s="1"/>
  <c r="J58" i="21" s="1"/>
  <c r="F13" i="21"/>
  <c r="M13" i="21"/>
  <c r="M10" i="21" s="1"/>
  <c r="M9" i="21" s="1"/>
  <c r="M58" i="21" s="1"/>
  <c r="I13" i="21"/>
  <c r="I10" i="21" s="1"/>
  <c r="I9" i="21" s="1"/>
  <c r="I58" i="21" s="1"/>
  <c r="H13" i="21"/>
  <c r="H10" i="21" s="1"/>
  <c r="H9" i="21" s="1"/>
  <c r="H58" i="21" s="1"/>
  <c r="L13" i="21"/>
  <c r="L10" i="21" s="1"/>
  <c r="AP96" i="20"/>
  <c r="K9" i="21" l="1"/>
  <c r="K58" i="21" s="1"/>
  <c r="L69" i="22"/>
  <c r="L52" i="22" s="1"/>
  <c r="J7" i="22"/>
  <c r="L9" i="21"/>
  <c r="L58" i="21" s="1"/>
  <c r="F10" i="21"/>
  <c r="F9" i="21" s="1"/>
  <c r="E13" i="21"/>
  <c r="E10" i="21" s="1"/>
  <c r="O9" i="21"/>
  <c r="O58" i="21" s="1"/>
  <c r="E44" i="21"/>
  <c r="D44" i="21" s="1"/>
  <c r="G42" i="21"/>
  <c r="K427" i="20"/>
  <c r="G41" i="21" l="1"/>
  <c r="E42" i="21"/>
  <c r="F58" i="21"/>
  <c r="K425" i="20"/>
  <c r="K426" i="20"/>
  <c r="AP418" i="20"/>
  <c r="S418" i="20"/>
  <c r="S417" i="20" s="1"/>
  <c r="S410" i="20"/>
  <c r="S409" i="20"/>
  <c r="S408" i="20"/>
  <c r="S403" i="20"/>
  <c r="AB400" i="20"/>
  <c r="K294" i="20"/>
  <c r="S288" i="20"/>
  <c r="AC287" i="20"/>
  <c r="AB287" i="20" s="1"/>
  <c r="S287" i="20"/>
  <c r="K284" i="20"/>
  <c r="S284" i="20"/>
  <c r="S258" i="20"/>
  <c r="K422" i="20" l="1"/>
  <c r="E41" i="21"/>
  <c r="E9" i="21" s="1"/>
  <c r="G9" i="21"/>
  <c r="S257" i="20"/>
  <c r="S253" i="20"/>
  <c r="S236" i="20"/>
  <c r="S235" i="20" s="1"/>
  <c r="S233" i="20"/>
  <c r="S232" i="20"/>
  <c r="S231" i="20"/>
  <c r="S228" i="20"/>
  <c r="G58" i="21" l="1"/>
  <c r="P9" i="21"/>
  <c r="S224" i="20"/>
  <c r="S223" i="20" s="1"/>
  <c r="S212" i="20"/>
  <c r="S211" i="20"/>
  <c r="L210" i="20"/>
  <c r="S209" i="20"/>
  <c r="S206" i="20"/>
  <c r="S205" i="20"/>
  <c r="L193" i="20"/>
  <c r="E58" i="21" l="1"/>
  <c r="G59" i="21" s="1"/>
  <c r="G60" i="21" s="1"/>
  <c r="S183" i="20"/>
  <c r="S182" i="20"/>
  <c r="S181" i="20"/>
  <c r="K59" i="21" l="1"/>
  <c r="K60" i="21" s="1"/>
  <c r="N59" i="21"/>
  <c r="N60" i="21" s="1"/>
  <c r="I59" i="21"/>
  <c r="I60" i="21" s="1"/>
  <c r="M59" i="21"/>
  <c r="M60" i="21" s="1"/>
  <c r="J59" i="21"/>
  <c r="J60" i="21" s="1"/>
  <c r="H59" i="21"/>
  <c r="H60" i="21" s="1"/>
  <c r="L59" i="21"/>
  <c r="L60" i="21" s="1"/>
  <c r="O59" i="21"/>
  <c r="O60" i="21" s="1"/>
  <c r="F59" i="21"/>
  <c r="F60" i="21" s="1"/>
  <c r="G61" i="21"/>
  <c r="G62" i="21" s="1"/>
  <c r="G63" i="21" s="1"/>
  <c r="G64" i="21" s="1"/>
  <c r="G66" i="21"/>
  <c r="G69" i="21"/>
  <c r="S158" i="20"/>
  <c r="K159" i="20"/>
  <c r="K156" i="20" s="1"/>
  <c r="S157" i="20"/>
  <c r="S154" i="20"/>
  <c r="AC153" i="20"/>
  <c r="AB153" i="20" s="1"/>
  <c r="S151" i="20"/>
  <c r="S152" i="20"/>
  <c r="S153" i="20"/>
  <c r="AC150" i="20"/>
  <c r="S150" i="20"/>
  <c r="AP144" i="20"/>
  <c r="AB144" i="20"/>
  <c r="S144" i="20"/>
  <c r="S129" i="20"/>
  <c r="S128" i="20"/>
  <c r="S127" i="20"/>
  <c r="S126" i="20"/>
  <c r="S122" i="20"/>
  <c r="S121" i="20"/>
  <c r="K120" i="20"/>
  <c r="K118" i="20" s="1"/>
  <c r="S120" i="20"/>
  <c r="S156" i="20" l="1"/>
  <c r="S149" i="20"/>
  <c r="AB150" i="20"/>
  <c r="AB149" i="20" s="1"/>
  <c r="AC149" i="20"/>
  <c r="M69" i="21"/>
  <c r="M61" i="21"/>
  <c r="M62" i="21" s="1"/>
  <c r="M63" i="21" s="1"/>
  <c r="M64" i="21" s="1"/>
  <c r="M66" i="21"/>
  <c r="L66" i="21"/>
  <c r="L61" i="21"/>
  <c r="L62" i="21" s="1"/>
  <c r="L63" i="21" s="1"/>
  <c r="L64" i="21" s="1"/>
  <c r="L69" i="21"/>
  <c r="I69" i="21"/>
  <c r="I66" i="21"/>
  <c r="I61" i="21"/>
  <c r="I62" i="21" s="1"/>
  <c r="I63" i="21" s="1"/>
  <c r="I64" i="21" s="1"/>
  <c r="O69" i="21"/>
  <c r="O61" i="21"/>
  <c r="O62" i="21" s="1"/>
  <c r="O63" i="21" s="1"/>
  <c r="O64" i="21" s="1"/>
  <c r="O66" i="21"/>
  <c r="G67" i="21"/>
  <c r="G65" i="21"/>
  <c r="H66" i="21"/>
  <c r="H69" i="21"/>
  <c r="H61" i="21"/>
  <c r="H62" i="21" s="1"/>
  <c r="H63" i="21" s="1"/>
  <c r="H64" i="21" s="1"/>
  <c r="H65" i="21" s="1"/>
  <c r="N61" i="21"/>
  <c r="N62" i="21" s="1"/>
  <c r="N63" i="21" s="1"/>
  <c r="N64" i="21" s="1"/>
  <c r="N66" i="21"/>
  <c r="F69" i="21"/>
  <c r="F61" i="21"/>
  <c r="E60" i="21"/>
  <c r="F66" i="21"/>
  <c r="J69" i="21"/>
  <c r="J61" i="21"/>
  <c r="J62" i="21" s="1"/>
  <c r="J63" i="21" s="1"/>
  <c r="J64" i="21" s="1"/>
  <c r="J66" i="21"/>
  <c r="K61" i="21"/>
  <c r="K62" i="21" s="1"/>
  <c r="K63" i="21" s="1"/>
  <c r="K64" i="21" s="1"/>
  <c r="K69" i="21"/>
  <c r="K66" i="21"/>
  <c r="S119" i="20"/>
  <c r="S118" i="20" s="1"/>
  <c r="I65" i="21" l="1"/>
  <c r="J65" i="21"/>
  <c r="N65" i="21"/>
  <c r="H67" i="21"/>
  <c r="O67" i="21"/>
  <c r="K67" i="21"/>
  <c r="K65" i="21"/>
  <c r="J67" i="21"/>
  <c r="N67" i="21"/>
  <c r="I67" i="21"/>
  <c r="L67" i="21"/>
  <c r="M65" i="21"/>
  <c r="F62" i="21"/>
  <c r="E61" i="21"/>
  <c r="L65" i="21"/>
  <c r="O65" i="21"/>
  <c r="M67" i="21"/>
  <c r="AV79" i="20"/>
  <c r="AP79" i="20"/>
  <c r="AO79" i="20"/>
  <c r="AO78" i="20" s="1"/>
  <c r="AN79" i="20"/>
  <c r="AN78" i="20" s="1"/>
  <c r="AI79" i="20"/>
  <c r="AI78" i="20" s="1"/>
  <c r="AH79" i="20"/>
  <c r="AH78" i="20" s="1"/>
  <c r="R79" i="20"/>
  <c r="R78" i="20" s="1"/>
  <c r="Q79" i="20"/>
  <c r="Q78" i="20" s="1"/>
  <c r="S70" i="20"/>
  <c r="S99" i="20"/>
  <c r="S98" i="20"/>
  <c r="S97" i="20"/>
  <c r="S96" i="20"/>
  <c r="S68" i="20" l="1"/>
  <c r="S67" i="20" s="1"/>
  <c r="BG79" i="20"/>
  <c r="AP78" i="20"/>
  <c r="S94" i="20"/>
  <c r="E62" i="21"/>
  <c r="F63" i="21"/>
  <c r="AU79" i="20"/>
  <c r="F64" i="21" l="1"/>
  <c r="F65" i="21" s="1"/>
  <c r="E63" i="21"/>
  <c r="AL109" i="20"/>
  <c r="AV106" i="20"/>
  <c r="AP106" i="20"/>
  <c r="AO106" i="20"/>
  <c r="AN106" i="20"/>
  <c r="AM106" i="20"/>
  <c r="AI106" i="20"/>
  <c r="AH106" i="20"/>
  <c r="R106" i="20"/>
  <c r="Q106" i="20"/>
  <c r="AL106" i="20" l="1"/>
  <c r="BG106" i="20" s="1"/>
  <c r="AP104" i="20"/>
  <c r="E64" i="21"/>
  <c r="F67" i="21"/>
  <c r="AU106" i="20"/>
  <c r="AL63" i="20"/>
  <c r="AK63" i="20"/>
  <c r="AK62" i="20" s="1"/>
  <c r="AK61" i="20" s="1"/>
  <c r="AK60" i="20" s="1"/>
  <c r="E65" i="21" l="1"/>
  <c r="E66" i="21" s="1"/>
  <c r="AJ63" i="20"/>
  <c r="AJ62" i="20" s="1"/>
  <c r="AJ61" i="20" s="1"/>
  <c r="AJ60" i="20" s="1"/>
  <c r="S63" i="20"/>
  <c r="E67" i="21" l="1"/>
  <c r="J56" i="21"/>
  <c r="K238" i="20"/>
  <c r="L238" i="20"/>
  <c r="M238" i="20"/>
  <c r="N238" i="20"/>
  <c r="O238" i="20"/>
  <c r="P238" i="20"/>
  <c r="AP410" i="20" l="1"/>
  <c r="AS394" i="20"/>
  <c r="AS399" i="20"/>
  <c r="AS402" i="20"/>
  <c r="AS421" i="20"/>
  <c r="AQ201" i="20"/>
  <c r="AQ198" i="20" s="1"/>
  <c r="AQ197" i="20" s="1"/>
  <c r="BF75" i="20"/>
  <c r="K333" i="20"/>
  <c r="K332" i="20" s="1"/>
  <c r="L333" i="20"/>
  <c r="L332" i="20" s="1"/>
  <c r="M333" i="20"/>
  <c r="M332" i="20" s="1"/>
  <c r="N333" i="20"/>
  <c r="N332" i="20" s="1"/>
  <c r="O333" i="20"/>
  <c r="O332" i="20" s="1"/>
  <c r="P333" i="20"/>
  <c r="P332" i="20" s="1"/>
  <c r="AS412" i="20" l="1"/>
  <c r="AS398" i="20"/>
  <c r="AV108" i="20" l="1"/>
  <c r="AU108" i="20"/>
  <c r="AO108" i="20"/>
  <c r="AN108" i="20"/>
  <c r="AL108" i="20"/>
  <c r="AI108" i="20"/>
  <c r="AH108" i="20"/>
  <c r="R108" i="20"/>
  <c r="Q108" i="20"/>
  <c r="AQ432" i="20"/>
  <c r="S426" i="20"/>
  <c r="S422" i="20" s="1"/>
  <c r="AP423" i="20"/>
  <c r="AP422" i="20" s="1"/>
  <c r="BG108" i="20" l="1"/>
  <c r="AP290" i="20"/>
  <c r="AL210" i="20"/>
  <c r="AM210" i="20" s="1"/>
  <c r="AL211" i="20"/>
  <c r="AM211" i="20" s="1"/>
  <c r="AL214" i="20"/>
  <c r="AM214" i="20" s="1"/>
  <c r="AL209" i="20"/>
  <c r="AM209" i="20" s="1"/>
  <c r="AL205" i="20"/>
  <c r="AM187" i="20"/>
  <c r="AQ422" i="20"/>
  <c r="K290" i="20"/>
  <c r="L290" i="20"/>
  <c r="M290" i="20"/>
  <c r="N290" i="20"/>
  <c r="O290" i="20"/>
  <c r="P290" i="20"/>
  <c r="S290" i="20"/>
  <c r="T290" i="20"/>
  <c r="U290" i="20"/>
  <c r="V290" i="20"/>
  <c r="X290" i="20"/>
  <c r="Y290" i="20"/>
  <c r="Z290" i="20"/>
  <c r="AA290" i="20"/>
  <c r="AB290" i="20"/>
  <c r="AC290" i="20"/>
  <c r="AD290" i="20"/>
  <c r="AE290" i="20"/>
  <c r="AF290" i="20"/>
  <c r="AG290" i="20"/>
  <c r="AQ295" i="20"/>
  <c r="AQ270" i="20"/>
  <c r="AQ269" i="20"/>
  <c r="AQ256" i="20"/>
  <c r="K208" i="20"/>
  <c r="M208" i="20"/>
  <c r="N208" i="20"/>
  <c r="O208" i="20"/>
  <c r="P208" i="20"/>
  <c r="U208" i="20"/>
  <c r="V208" i="20"/>
  <c r="X208" i="20"/>
  <c r="Y208" i="20"/>
  <c r="Z208" i="20"/>
  <c r="AA208" i="20"/>
  <c r="AB208" i="20"/>
  <c r="AC208" i="20"/>
  <c r="AD208" i="20"/>
  <c r="AE208" i="20"/>
  <c r="AF208" i="20"/>
  <c r="AG208" i="20"/>
  <c r="AR208" i="20"/>
  <c r="AS208" i="20"/>
  <c r="AQ188" i="20"/>
  <c r="AQ182" i="20"/>
  <c r="AQ179" i="20" s="1"/>
  <c r="AR333" i="20"/>
  <c r="AS333" i="20"/>
  <c r="BF331" i="20"/>
  <c r="AP329" i="20"/>
  <c r="AP327" i="20" l="1"/>
  <c r="AR256" i="20"/>
  <c r="AR255" i="20" s="1"/>
  <c r="AQ255" i="20"/>
  <c r="AQ161" i="20"/>
  <c r="AL206" i="20"/>
  <c r="AQ286" i="20" l="1"/>
  <c r="AQ294" i="20"/>
  <c r="AQ290" i="20" s="1"/>
  <c r="AM253" i="20"/>
  <c r="AP158" i="20" l="1"/>
  <c r="AP156" i="20" s="1"/>
  <c r="AQ94" i="20" l="1"/>
  <c r="AL97" i="20"/>
  <c r="AU8" i="20" l="1"/>
  <c r="BG46" i="20"/>
  <c r="BG54" i="20"/>
  <c r="BG145" i="20"/>
  <c r="BG147" i="20"/>
  <c r="BG148" i="20"/>
  <c r="BG225" i="20"/>
  <c r="BG243" i="20"/>
  <c r="BG271" i="20"/>
  <c r="BG275" i="20"/>
  <c r="BG300" i="20"/>
  <c r="BG348" i="20"/>
  <c r="BG371" i="20"/>
  <c r="BG391" i="20"/>
  <c r="K192" i="20" l="1"/>
  <c r="K191" i="20" s="1"/>
  <c r="L192" i="20"/>
  <c r="L191" i="20" s="1"/>
  <c r="M192" i="20"/>
  <c r="M191" i="20" s="1"/>
  <c r="N192" i="20"/>
  <c r="N191" i="20" s="1"/>
  <c r="O192" i="20"/>
  <c r="O191" i="20" s="1"/>
  <c r="P192" i="20"/>
  <c r="P191" i="20" s="1"/>
  <c r="U192" i="20"/>
  <c r="U191" i="20" s="1"/>
  <c r="V192" i="20"/>
  <c r="V191" i="20" s="1"/>
  <c r="X192" i="20"/>
  <c r="X191" i="20" s="1"/>
  <c r="Y192" i="20"/>
  <c r="Y191" i="20" s="1"/>
  <c r="Z192" i="20"/>
  <c r="Z191" i="20" s="1"/>
  <c r="AA192" i="20"/>
  <c r="AA191" i="20" s="1"/>
  <c r="AB192" i="20"/>
  <c r="AB191" i="20" s="1"/>
  <c r="AC192" i="20"/>
  <c r="AC191" i="20" s="1"/>
  <c r="AD192" i="20"/>
  <c r="AD191" i="20" s="1"/>
  <c r="AE192" i="20"/>
  <c r="AE191" i="20" s="1"/>
  <c r="AF192" i="20"/>
  <c r="AF191" i="20" s="1"/>
  <c r="AG192" i="20"/>
  <c r="AG191" i="20" s="1"/>
  <c r="AR192" i="20"/>
  <c r="AR191" i="20" s="1"/>
  <c r="AS192" i="20"/>
  <c r="AS191" i="20" s="1"/>
  <c r="K432" i="20"/>
  <c r="L432" i="20"/>
  <c r="M432" i="20"/>
  <c r="N432" i="20"/>
  <c r="O432" i="20"/>
  <c r="P432" i="20"/>
  <c r="S432" i="20"/>
  <c r="U432" i="20"/>
  <c r="V432" i="20"/>
  <c r="X432" i="20"/>
  <c r="Y432" i="20"/>
  <c r="Z432" i="20"/>
  <c r="AA432" i="20"/>
  <c r="AB432" i="20"/>
  <c r="AC432" i="20"/>
  <c r="AD432" i="20"/>
  <c r="AE432" i="20"/>
  <c r="AF432" i="20"/>
  <c r="AG432" i="20"/>
  <c r="AR432" i="20"/>
  <c r="AS432" i="20"/>
  <c r="AO42" i="20"/>
  <c r="AI47" i="20"/>
  <c r="AH47" i="20" s="1"/>
  <c r="BG48" i="20"/>
  <c r="T192" i="20" l="1"/>
  <c r="T191" i="20" s="1"/>
  <c r="S192" i="20"/>
  <c r="S191" i="20" s="1"/>
  <c r="BG249" i="20"/>
  <c r="BG220" i="20"/>
  <c r="BG195" i="20"/>
  <c r="BG138" i="20"/>
  <c r="BG115" i="20"/>
  <c r="BG85" i="20"/>
  <c r="BG59" i="20"/>
  <c r="L188" i="20"/>
  <c r="M188" i="20"/>
  <c r="N188" i="20"/>
  <c r="O188" i="20"/>
  <c r="P188" i="20"/>
  <c r="S188" i="20"/>
  <c r="T188" i="20"/>
  <c r="U188" i="20"/>
  <c r="V188" i="20"/>
  <c r="X188" i="20"/>
  <c r="Y188" i="20"/>
  <c r="Z188" i="20"/>
  <c r="AA188" i="20"/>
  <c r="AB188" i="20"/>
  <c r="AC188" i="20"/>
  <c r="AD188" i="20"/>
  <c r="AE188" i="20"/>
  <c r="AF188" i="20"/>
  <c r="AG188" i="20"/>
  <c r="AR188" i="20"/>
  <c r="AS188" i="20"/>
  <c r="L179" i="20"/>
  <c r="M179" i="20"/>
  <c r="N179" i="20"/>
  <c r="O179" i="20"/>
  <c r="P179" i="20"/>
  <c r="S179" i="20"/>
  <c r="T179" i="20"/>
  <c r="U179" i="20"/>
  <c r="V179" i="20"/>
  <c r="X179" i="20"/>
  <c r="Y179" i="20"/>
  <c r="Z179" i="20"/>
  <c r="AA179" i="20"/>
  <c r="AB179" i="20"/>
  <c r="AC179" i="20"/>
  <c r="AD179" i="20"/>
  <c r="AE179" i="20"/>
  <c r="AF179" i="20"/>
  <c r="AG179" i="20"/>
  <c r="AR179" i="20"/>
  <c r="AS179" i="20"/>
  <c r="AM136" i="20"/>
  <c r="AM137" i="20"/>
  <c r="AM151" i="20"/>
  <c r="L216" i="20"/>
  <c r="M216" i="20"/>
  <c r="N216" i="20"/>
  <c r="O216" i="20"/>
  <c r="P216" i="20"/>
  <c r="K216" i="20"/>
  <c r="T440" i="20"/>
  <c r="M440" i="20"/>
  <c r="N440" i="20"/>
  <c r="O440" i="20"/>
  <c r="P440" i="20"/>
  <c r="S440" i="20"/>
  <c r="V440" i="20"/>
  <c r="X440" i="20"/>
  <c r="Y440" i="20"/>
  <c r="Z440" i="20"/>
  <c r="AA440" i="20"/>
  <c r="AB440" i="20"/>
  <c r="AC440" i="20"/>
  <c r="AD440" i="20"/>
  <c r="AE440" i="20"/>
  <c r="AF440" i="20"/>
  <c r="AG440" i="20"/>
  <c r="AR440" i="20"/>
  <c r="AS440" i="20"/>
  <c r="K440" i="20"/>
  <c r="T439" i="20"/>
  <c r="L439" i="20" s="1"/>
  <c r="AM423" i="20"/>
  <c r="AM132" i="20" l="1"/>
  <c r="L440" i="20"/>
  <c r="AM261" i="20" l="1"/>
  <c r="AM260" i="20"/>
  <c r="AM259" i="20"/>
  <c r="AM258" i="20"/>
  <c r="AM257" i="20"/>
  <c r="BF270" i="20"/>
  <c r="AM458" i="20"/>
  <c r="U441" i="20"/>
  <c r="U440" i="20" s="1"/>
  <c r="AM330" i="20"/>
  <c r="AM331" i="20"/>
  <c r="AM329" i="20"/>
  <c r="AM293" i="20"/>
  <c r="AM327" i="20" l="1"/>
  <c r="AM229" i="20"/>
  <c r="AM231" i="20"/>
  <c r="L215" i="20"/>
  <c r="M215" i="20"/>
  <c r="N215" i="20"/>
  <c r="O215" i="20"/>
  <c r="P215" i="20"/>
  <c r="S215" i="20"/>
  <c r="T215" i="20"/>
  <c r="U215" i="20"/>
  <c r="V215" i="20"/>
  <c r="X215" i="20"/>
  <c r="Y215" i="20"/>
  <c r="Z215" i="20"/>
  <c r="AA215" i="20"/>
  <c r="AB215" i="20"/>
  <c r="AC215" i="20"/>
  <c r="AD215" i="20"/>
  <c r="AE215" i="20"/>
  <c r="AF215" i="20"/>
  <c r="AG215" i="20"/>
  <c r="AQ215" i="20"/>
  <c r="AR215" i="20"/>
  <c r="AS215" i="20"/>
  <c r="L198" i="20"/>
  <c r="M198" i="20"/>
  <c r="N198" i="20"/>
  <c r="O198" i="20"/>
  <c r="P198" i="20"/>
  <c r="S198" i="20"/>
  <c r="T198" i="20"/>
  <c r="U198" i="20"/>
  <c r="V198" i="20"/>
  <c r="X198" i="20"/>
  <c r="Y198" i="20"/>
  <c r="Z198" i="20"/>
  <c r="AA198" i="20"/>
  <c r="AB198" i="20"/>
  <c r="AC198" i="20"/>
  <c r="AD198" i="20"/>
  <c r="AE198" i="20"/>
  <c r="AF198" i="20"/>
  <c r="AG198" i="20"/>
  <c r="AR198" i="20"/>
  <c r="AS198" i="20"/>
  <c r="S208" i="20"/>
  <c r="AM230" i="20"/>
  <c r="L124" i="20"/>
  <c r="M124" i="20"/>
  <c r="N124" i="20"/>
  <c r="O124" i="20"/>
  <c r="P124" i="20"/>
  <c r="U124" i="20"/>
  <c r="V124" i="20"/>
  <c r="X124" i="20"/>
  <c r="Y124" i="20"/>
  <c r="Z124" i="20"/>
  <c r="AA124" i="20"/>
  <c r="AB124" i="20"/>
  <c r="AC124" i="20"/>
  <c r="AD124" i="20"/>
  <c r="AE124" i="20"/>
  <c r="AF124" i="20"/>
  <c r="AG124" i="20"/>
  <c r="AR124" i="20"/>
  <c r="AS124" i="20"/>
  <c r="AQ124" i="20"/>
  <c r="T208" i="20" l="1"/>
  <c r="AL212" i="20"/>
  <c r="AM212" i="20" s="1"/>
  <c r="T130" i="20"/>
  <c r="AP91" i="20"/>
  <c r="AP90" i="20" s="1"/>
  <c r="AP65" i="20"/>
  <c r="AP64" i="20" s="1"/>
  <c r="AL331" i="20"/>
  <c r="BG331" i="20" s="1"/>
  <c r="L289" i="20"/>
  <c r="M289" i="20"/>
  <c r="N289" i="20"/>
  <c r="O289" i="20"/>
  <c r="P289" i="20"/>
  <c r="S289" i="20"/>
  <c r="T289" i="20"/>
  <c r="U289" i="20"/>
  <c r="V289" i="20"/>
  <c r="X289" i="20"/>
  <c r="Y289" i="20"/>
  <c r="Z289" i="20"/>
  <c r="AA289" i="20"/>
  <c r="AB289" i="20"/>
  <c r="AC289" i="20"/>
  <c r="AD289" i="20"/>
  <c r="AE289" i="20"/>
  <c r="AF289" i="20"/>
  <c r="AG289" i="20"/>
  <c r="AR290" i="20"/>
  <c r="AR289" i="20" s="1"/>
  <c r="AS290" i="20"/>
  <c r="AS289" i="20" s="1"/>
  <c r="K289" i="20"/>
  <c r="U297" i="20"/>
  <c r="U296" i="20" s="1"/>
  <c r="V297" i="20"/>
  <c r="V296" i="20" s="1"/>
  <c r="X297" i="20"/>
  <c r="X296" i="20" s="1"/>
  <c r="Y297" i="20"/>
  <c r="Y296" i="20" s="1"/>
  <c r="Z297" i="20"/>
  <c r="Z296" i="20" s="1"/>
  <c r="AA297" i="20"/>
  <c r="AA296" i="20" s="1"/>
  <c r="AC297" i="20"/>
  <c r="AC296" i="20" s="1"/>
  <c r="AD297" i="20"/>
  <c r="AD296" i="20" s="1"/>
  <c r="AE297" i="20"/>
  <c r="AE296" i="20" s="1"/>
  <c r="AF297" i="20"/>
  <c r="AF296" i="20" s="1"/>
  <c r="AG297" i="20"/>
  <c r="AG296" i="20" s="1"/>
  <c r="AQ297" i="20"/>
  <c r="AQ296" i="20" s="1"/>
  <c r="AR297" i="20"/>
  <c r="AR296" i="20" s="1"/>
  <c r="AS297" i="20"/>
  <c r="AS296" i="20" s="1"/>
  <c r="T297" i="20"/>
  <c r="T296" i="20" s="1"/>
  <c r="AP298" i="20"/>
  <c r="BF299" i="20"/>
  <c r="BF298" i="20"/>
  <c r="L297" i="20"/>
  <c r="L296" i="20" s="1"/>
  <c r="M297" i="20"/>
  <c r="M296" i="20" s="1"/>
  <c r="N297" i="20"/>
  <c r="N296" i="20" s="1"/>
  <c r="O297" i="20"/>
  <c r="O296" i="20" s="1"/>
  <c r="P297" i="20"/>
  <c r="P296" i="20" s="1"/>
  <c r="S297" i="20"/>
  <c r="S296" i="20" s="1"/>
  <c r="K297" i="20"/>
  <c r="K296" i="20" s="1"/>
  <c r="K326" i="20"/>
  <c r="L161" i="20"/>
  <c r="L160" i="20" s="1"/>
  <c r="M161" i="20"/>
  <c r="M160" i="20" s="1"/>
  <c r="N161" i="20"/>
  <c r="N160" i="20" s="1"/>
  <c r="O161" i="20"/>
  <c r="O160" i="20" s="1"/>
  <c r="P161" i="20"/>
  <c r="P160" i="20" s="1"/>
  <c r="S161" i="20"/>
  <c r="S160" i="20" s="1"/>
  <c r="U161" i="20"/>
  <c r="U160" i="20" s="1"/>
  <c r="V161" i="20"/>
  <c r="V160" i="20" s="1"/>
  <c r="X161" i="20"/>
  <c r="X160" i="20" s="1"/>
  <c r="Y161" i="20"/>
  <c r="Y160" i="20" s="1"/>
  <c r="Z161" i="20"/>
  <c r="Z160" i="20" s="1"/>
  <c r="AA161" i="20"/>
  <c r="AA160" i="20" s="1"/>
  <c r="AB161" i="20"/>
  <c r="AB160" i="20" s="1"/>
  <c r="AC161" i="20"/>
  <c r="AC160" i="20" s="1"/>
  <c r="AD161" i="20"/>
  <c r="AD160" i="20" s="1"/>
  <c r="AE161" i="20"/>
  <c r="AE160" i="20" s="1"/>
  <c r="AF161" i="20"/>
  <c r="AF160" i="20" s="1"/>
  <c r="AG161" i="20"/>
  <c r="AG160" i="20" s="1"/>
  <c r="AQ160" i="20"/>
  <c r="AR161" i="20"/>
  <c r="AR160" i="20" s="1"/>
  <c r="AS161" i="20"/>
  <c r="AS160" i="20" s="1"/>
  <c r="K161" i="20"/>
  <c r="K160" i="20" s="1"/>
  <c r="L131" i="20"/>
  <c r="M131" i="20"/>
  <c r="N131" i="20"/>
  <c r="O131" i="20"/>
  <c r="P131" i="20"/>
  <c r="U131" i="20"/>
  <c r="V131" i="20"/>
  <c r="X131" i="20"/>
  <c r="Y131" i="20"/>
  <c r="Z131" i="20"/>
  <c r="AA131" i="20"/>
  <c r="AB131" i="20"/>
  <c r="AC131" i="20"/>
  <c r="AD131" i="20"/>
  <c r="AE131" i="20"/>
  <c r="AF131" i="20"/>
  <c r="AG131" i="20"/>
  <c r="AQ131" i="20"/>
  <c r="AS131" i="20"/>
  <c r="K131" i="20"/>
  <c r="L111" i="20"/>
  <c r="L110" i="20" s="1"/>
  <c r="M111" i="20"/>
  <c r="M110" i="20" s="1"/>
  <c r="N111" i="20"/>
  <c r="N110" i="20" s="1"/>
  <c r="O111" i="20"/>
  <c r="O110" i="20" s="1"/>
  <c r="P111" i="20"/>
  <c r="P110" i="20" s="1"/>
  <c r="S110" i="20"/>
  <c r="T110" i="20"/>
  <c r="U110" i="20"/>
  <c r="V110" i="20"/>
  <c r="X110" i="20"/>
  <c r="Y110" i="20"/>
  <c r="Z110" i="20"/>
  <c r="AA110" i="20"/>
  <c r="AB110" i="20"/>
  <c r="AC110" i="20"/>
  <c r="AD110" i="20"/>
  <c r="AE110" i="20"/>
  <c r="AF110" i="20"/>
  <c r="AG110" i="20"/>
  <c r="AR110" i="20"/>
  <c r="AS110" i="20"/>
  <c r="K111" i="20"/>
  <c r="K110" i="20" s="1"/>
  <c r="L103" i="20"/>
  <c r="M103" i="20"/>
  <c r="N103" i="20"/>
  <c r="O103" i="20"/>
  <c r="P103" i="20"/>
  <c r="S103" i="20"/>
  <c r="T103" i="20"/>
  <c r="U103" i="20"/>
  <c r="V103" i="20"/>
  <c r="X103" i="20"/>
  <c r="Y103" i="20"/>
  <c r="Z103" i="20"/>
  <c r="AA103" i="20"/>
  <c r="AB103" i="20"/>
  <c r="AC103" i="20"/>
  <c r="AD103" i="20"/>
  <c r="AE103" i="20"/>
  <c r="AF103" i="20"/>
  <c r="AG103" i="20"/>
  <c r="AQ103" i="20"/>
  <c r="AR103" i="20"/>
  <c r="AS103" i="20"/>
  <c r="AP82" i="20"/>
  <c r="AP83" i="20"/>
  <c r="L237" i="20"/>
  <c r="M237" i="20"/>
  <c r="N237" i="20"/>
  <c r="O237" i="20"/>
  <c r="P237" i="20"/>
  <c r="S237" i="20"/>
  <c r="U237" i="20"/>
  <c r="V237" i="20"/>
  <c r="X237" i="20"/>
  <c r="Y237" i="20"/>
  <c r="Z237" i="20"/>
  <c r="AA237" i="20"/>
  <c r="AB237" i="20"/>
  <c r="AC237" i="20"/>
  <c r="AD237" i="20"/>
  <c r="AE237" i="20"/>
  <c r="AF237" i="20"/>
  <c r="AG237" i="20"/>
  <c r="AQ237" i="20"/>
  <c r="AR237" i="20"/>
  <c r="AS237" i="20"/>
  <c r="K237" i="20"/>
  <c r="L267" i="20"/>
  <c r="M267" i="20"/>
  <c r="N267" i="20"/>
  <c r="O267" i="20"/>
  <c r="P267" i="20"/>
  <c r="S267" i="20"/>
  <c r="S266" i="20" s="1"/>
  <c r="T267" i="20"/>
  <c r="T266" i="20" s="1"/>
  <c r="U267" i="20"/>
  <c r="U266" i="20" s="1"/>
  <c r="V267" i="20"/>
  <c r="V266" i="20" s="1"/>
  <c r="X267" i="20"/>
  <c r="X266" i="20" s="1"/>
  <c r="Y267" i="20"/>
  <c r="Y266" i="20" s="1"/>
  <c r="Z267" i="20"/>
  <c r="Z266" i="20" s="1"/>
  <c r="AA267" i="20"/>
  <c r="AA266" i="20" s="1"/>
  <c r="AB267" i="20"/>
  <c r="AB266" i="20" s="1"/>
  <c r="AC267" i="20"/>
  <c r="AC266" i="20" s="1"/>
  <c r="AD267" i="20"/>
  <c r="AD266" i="20" s="1"/>
  <c r="AE267" i="20"/>
  <c r="AE266" i="20" s="1"/>
  <c r="AF267" i="20"/>
  <c r="AF266" i="20" s="1"/>
  <c r="AG267" i="20"/>
  <c r="AG266" i="20" s="1"/>
  <c r="AP267" i="20"/>
  <c r="AP266" i="20" s="1"/>
  <c r="AQ267" i="20"/>
  <c r="AQ266" i="20" s="1"/>
  <c r="AR267" i="20"/>
  <c r="AR266" i="20" s="1"/>
  <c r="AS267" i="20"/>
  <c r="AS266" i="20" s="1"/>
  <c r="K267" i="20"/>
  <c r="K266" i="20"/>
  <c r="L266" i="20"/>
  <c r="M266" i="20"/>
  <c r="N266" i="20"/>
  <c r="O266" i="20"/>
  <c r="P266" i="20"/>
  <c r="BF218" i="20"/>
  <c r="K215" i="20"/>
  <c r="AP218" i="20"/>
  <c r="AP216" i="20" s="1"/>
  <c r="BF137" i="20"/>
  <c r="BF163" i="20"/>
  <c r="AP137" i="20"/>
  <c r="AP132" i="20" s="1"/>
  <c r="AP112" i="20"/>
  <c r="AP111" i="20" s="1"/>
  <c r="AP81" i="20" l="1"/>
  <c r="AP161" i="20"/>
  <c r="AP160" i="20" s="1"/>
  <c r="AP297" i="20"/>
  <c r="AP296" i="20" s="1"/>
  <c r="AP110" i="20" l="1"/>
  <c r="AU110" i="20" s="1"/>
  <c r="AU111" i="20"/>
  <c r="L394" i="20" l="1"/>
  <c r="M394" i="20"/>
  <c r="N394" i="20"/>
  <c r="O394" i="20"/>
  <c r="P394" i="20"/>
  <c r="S394" i="20"/>
  <c r="T394" i="20"/>
  <c r="U394" i="20"/>
  <c r="V394" i="20"/>
  <c r="X394" i="20"/>
  <c r="Y394" i="20"/>
  <c r="Z394" i="20"/>
  <c r="AA394" i="20"/>
  <c r="AB394" i="20"/>
  <c r="AC394" i="20"/>
  <c r="AD394" i="20"/>
  <c r="AE394" i="20"/>
  <c r="AF394" i="20"/>
  <c r="AG394" i="20"/>
  <c r="AR394" i="20"/>
  <c r="K431" i="20"/>
  <c r="L431" i="20"/>
  <c r="M431" i="20"/>
  <c r="N431" i="20"/>
  <c r="O431" i="20"/>
  <c r="P431" i="20"/>
  <c r="S431" i="20"/>
  <c r="U431" i="20"/>
  <c r="V431" i="20"/>
  <c r="X431" i="20"/>
  <c r="Y431" i="20"/>
  <c r="Z431" i="20"/>
  <c r="AA431" i="20"/>
  <c r="AB431" i="20"/>
  <c r="AC431" i="20"/>
  <c r="AD431" i="20"/>
  <c r="AE431" i="20"/>
  <c r="AF431" i="20"/>
  <c r="AG431" i="20"/>
  <c r="AQ431" i="20"/>
  <c r="AR431" i="20"/>
  <c r="AS431" i="20"/>
  <c r="AS393" i="20" s="1"/>
  <c r="AR402" i="20"/>
  <c r="L399" i="20"/>
  <c r="M399" i="20"/>
  <c r="N399" i="20"/>
  <c r="O399" i="20"/>
  <c r="P399" i="20"/>
  <c r="S399" i="20"/>
  <c r="T399" i="20"/>
  <c r="U399" i="20"/>
  <c r="V399" i="20"/>
  <c r="X399" i="20"/>
  <c r="Y399" i="20"/>
  <c r="Z399" i="20"/>
  <c r="AA399" i="20"/>
  <c r="AC399" i="20"/>
  <c r="AD399" i="20"/>
  <c r="AE399" i="20"/>
  <c r="AF399" i="20"/>
  <c r="AG399" i="20"/>
  <c r="AR399" i="20"/>
  <c r="K399" i="20"/>
  <c r="M402" i="20"/>
  <c r="N402" i="20"/>
  <c r="O402" i="20"/>
  <c r="P402" i="20"/>
  <c r="S402" i="20"/>
  <c r="U402" i="20"/>
  <c r="V402" i="20"/>
  <c r="X402" i="20"/>
  <c r="Y402" i="20"/>
  <c r="Z402" i="20"/>
  <c r="AA402" i="20"/>
  <c r="AC402" i="20"/>
  <c r="AD402" i="20"/>
  <c r="AE402" i="20"/>
  <c r="AF402" i="20"/>
  <c r="AG402" i="20"/>
  <c r="K402" i="20"/>
  <c r="AQ421" i="20" l="1"/>
  <c r="BF70" i="20"/>
  <c r="BF107" i="20"/>
  <c r="BF120" i="20"/>
  <c r="BF122" i="20"/>
  <c r="BF125" i="20"/>
  <c r="BF151" i="20"/>
  <c r="BF158" i="20"/>
  <c r="BF183" i="20"/>
  <c r="BF184" i="20"/>
  <c r="BF231" i="20"/>
  <c r="BF232" i="20"/>
  <c r="BF233" i="20"/>
  <c r="BF236" i="20"/>
  <c r="BF293" i="20"/>
  <c r="BF383" i="20"/>
  <c r="BF386" i="20"/>
  <c r="BF377" i="20"/>
  <c r="BF411" i="20"/>
  <c r="BF423" i="20"/>
  <c r="BF424" i="20"/>
  <c r="AP241" i="20"/>
  <c r="AP238" i="20" s="1"/>
  <c r="L234" i="20"/>
  <c r="M234" i="20"/>
  <c r="N234" i="20"/>
  <c r="O234" i="20"/>
  <c r="P234" i="20"/>
  <c r="U234" i="20"/>
  <c r="V234" i="20"/>
  <c r="X234" i="20"/>
  <c r="Y234" i="20"/>
  <c r="Z234" i="20"/>
  <c r="AA234" i="20"/>
  <c r="AB234" i="20"/>
  <c r="AC234" i="20"/>
  <c r="AD234" i="20"/>
  <c r="AE234" i="20"/>
  <c r="AF234" i="20"/>
  <c r="AG234" i="20"/>
  <c r="AQ234" i="20"/>
  <c r="K234" i="20"/>
  <c r="AM183" i="20"/>
  <c r="Q137" i="20"/>
  <c r="R137" i="20"/>
  <c r="AH137" i="20"/>
  <c r="AI137" i="20"/>
  <c r="AL137" i="20"/>
  <c r="BG137" i="20" s="1"/>
  <c r="AN137" i="20"/>
  <c r="AO137" i="20"/>
  <c r="AU137" i="20"/>
  <c r="AV137" i="20"/>
  <c r="AX137" i="20"/>
  <c r="AY137" i="20" s="1"/>
  <c r="S124" i="20"/>
  <c r="AP237" i="20" l="1"/>
  <c r="S234" i="20"/>
  <c r="T234" i="20"/>
  <c r="AR234" i="20"/>
  <c r="AP131" i="20"/>
  <c r="S131" i="20"/>
  <c r="AP234" i="20"/>
  <c r="L411" i="20"/>
  <c r="L402" i="20" s="1"/>
  <c r="T131" i="20" l="1"/>
  <c r="T124" i="20"/>
  <c r="AO47" i="20" l="1"/>
  <c r="AM47" i="20"/>
  <c r="AN47" i="20"/>
  <c r="AL47" i="20" l="1"/>
  <c r="K394" i="20"/>
  <c r="BF213" i="20"/>
  <c r="X61" i="20"/>
  <c r="K64" i="20"/>
  <c r="AU46" i="20" l="1"/>
  <c r="AU82" i="20"/>
  <c r="AU83" i="20"/>
  <c r="AU112" i="20"/>
  <c r="AU115" i="20"/>
  <c r="AU136" i="20"/>
  <c r="AU145" i="20"/>
  <c r="AU147" i="20"/>
  <c r="AU148" i="20"/>
  <c r="AU160" i="20"/>
  <c r="AU166" i="20"/>
  <c r="AU163" i="20"/>
  <c r="AU167" i="20"/>
  <c r="AU168" i="20"/>
  <c r="AU164" i="20"/>
  <c r="AU169" i="20"/>
  <c r="AU170" i="20"/>
  <c r="AU176" i="20"/>
  <c r="AU177" i="20"/>
  <c r="AU195" i="20"/>
  <c r="AU218" i="20"/>
  <c r="AU220" i="20"/>
  <c r="AU225" i="20"/>
  <c r="AU237" i="20"/>
  <c r="AU247" i="20"/>
  <c r="AU236" i="20"/>
  <c r="AU244" i="20"/>
  <c r="AU245" i="20"/>
  <c r="AU241" i="20"/>
  <c r="AU246" i="20"/>
  <c r="AU242" i="20"/>
  <c r="AU248" i="20"/>
  <c r="AU249" i="20"/>
  <c r="AU266" i="20"/>
  <c r="AU268" i="20"/>
  <c r="AU269" i="20"/>
  <c r="AU272" i="20"/>
  <c r="AU273" i="20"/>
  <c r="AU270" i="20"/>
  <c r="AU274" i="20"/>
  <c r="AU275" i="20"/>
  <c r="AU296" i="20"/>
  <c r="AU298" i="20"/>
  <c r="AU299" i="20"/>
  <c r="AU295" i="20"/>
  <c r="AU294" i="20"/>
  <c r="AU301" i="20"/>
  <c r="AU302" i="20"/>
  <c r="AU338" i="20"/>
  <c r="AU339" i="20"/>
  <c r="AU340" i="20"/>
  <c r="AU331" i="20"/>
  <c r="AU348" i="20"/>
  <c r="AU371" i="20"/>
  <c r="AU372" i="20"/>
  <c r="AU373" i="20"/>
  <c r="AU374" i="20"/>
  <c r="AU375" i="20"/>
  <c r="AU376" i="20"/>
  <c r="AU378" i="20"/>
  <c r="AU379" i="20"/>
  <c r="AU380" i="20"/>
  <c r="AU381" i="20"/>
  <c r="AU382" i="20"/>
  <c r="AU384" i="20"/>
  <c r="AU385" i="20"/>
  <c r="AU387" i="20"/>
  <c r="AU388" i="20"/>
  <c r="AU389" i="20"/>
  <c r="AU390" i="20"/>
  <c r="AU391" i="20"/>
  <c r="AU427" i="20"/>
  <c r="AU450" i="20"/>
  <c r="AU465" i="20"/>
  <c r="AU466" i="20"/>
  <c r="AU467" i="20"/>
  <c r="AU468" i="20"/>
  <c r="AU469" i="20"/>
  <c r="AU470" i="20"/>
  <c r="AU471" i="20"/>
  <c r="AU472" i="20"/>
  <c r="AU473" i="20"/>
  <c r="AU474" i="20"/>
  <c r="AU475" i="20"/>
  <c r="AU476" i="20"/>
  <c r="AN454" i="20" l="1"/>
  <c r="AN453" i="20" s="1"/>
  <c r="T42" i="20"/>
  <c r="AI46" i="20"/>
  <c r="AH46" i="20" s="1"/>
  <c r="AH43" i="20" s="1"/>
  <c r="AH42" i="20" s="1"/>
  <c r="AI44" i="20"/>
  <c r="BG47" i="20"/>
  <c r="AU16" i="20"/>
  <c r="AU18" i="20"/>
  <c r="AU19" i="20"/>
  <c r="AU20" i="20"/>
  <c r="AU21" i="20"/>
  <c r="AU22" i="20"/>
  <c r="AU23" i="20"/>
  <c r="AU24" i="20"/>
  <c r="AU25" i="20"/>
  <c r="AU26" i="20"/>
  <c r="AU27" i="20"/>
  <c r="AU28" i="20"/>
  <c r="AU29" i="20"/>
  <c r="AU30" i="20"/>
  <c r="AU31" i="20"/>
  <c r="AU32" i="20"/>
  <c r="AU33" i="20"/>
  <c r="AU34" i="20"/>
  <c r="AU35" i="20"/>
  <c r="AU36" i="20"/>
  <c r="AU37" i="20"/>
  <c r="AU38" i="20"/>
  <c r="AU39" i="20"/>
  <c r="AU40" i="20"/>
  <c r="AU41" i="20"/>
  <c r="BD415" i="20"/>
  <c r="BD396" i="20"/>
  <c r="BD400" i="20"/>
  <c r="BD401" i="20"/>
  <c r="BD404" i="20"/>
  <c r="BD406" i="20"/>
  <c r="BD408" i="20"/>
  <c r="AQ289" i="20"/>
  <c r="BF253" i="20"/>
  <c r="BF205" i="20"/>
  <c r="BF206" i="20"/>
  <c r="AP142" i="20"/>
  <c r="AP141" i="20" s="1"/>
  <c r="AH20" i="20"/>
  <c r="AI20" i="20"/>
  <c r="AV20" i="20"/>
  <c r="AW20" i="20" s="1"/>
  <c r="L457" i="20"/>
  <c r="L456" i="20" s="1"/>
  <c r="L455" i="20" s="1"/>
  <c r="M457" i="20"/>
  <c r="M456" i="20" s="1"/>
  <c r="M455" i="20" s="1"/>
  <c r="N457" i="20"/>
  <c r="N456" i="20" s="1"/>
  <c r="N455" i="20" s="1"/>
  <c r="O457" i="20"/>
  <c r="O456" i="20" s="1"/>
  <c r="O455" i="20" s="1"/>
  <c r="P457" i="20"/>
  <c r="P456" i="20" s="1"/>
  <c r="P455" i="20" s="1"/>
  <c r="S457" i="20"/>
  <c r="S456" i="20" s="1"/>
  <c r="S455" i="20" s="1"/>
  <c r="T457" i="20"/>
  <c r="T456" i="20" s="1"/>
  <c r="T455" i="20" s="1"/>
  <c r="U457" i="20"/>
  <c r="U456" i="20" s="1"/>
  <c r="U455" i="20" s="1"/>
  <c r="V457" i="20"/>
  <c r="V456" i="20" s="1"/>
  <c r="V455" i="20" s="1"/>
  <c r="X457" i="20"/>
  <c r="X456" i="20" s="1"/>
  <c r="X455" i="20" s="1"/>
  <c r="Y457" i="20"/>
  <c r="Y456" i="20" s="1"/>
  <c r="Y455" i="20" s="1"/>
  <c r="Z457" i="20"/>
  <c r="Z456" i="20" s="1"/>
  <c r="Z455" i="20" s="1"/>
  <c r="AA457" i="20"/>
  <c r="AA456" i="20" s="1"/>
  <c r="AA455" i="20" s="1"/>
  <c r="AB457" i="20"/>
  <c r="AB456" i="20" s="1"/>
  <c r="AB455" i="20" s="1"/>
  <c r="AC457" i="20"/>
  <c r="AC456" i="20" s="1"/>
  <c r="AC455" i="20" s="1"/>
  <c r="AD457" i="20"/>
  <c r="AD456" i="20" s="1"/>
  <c r="AD455" i="20" s="1"/>
  <c r="AE457" i="20"/>
  <c r="AE456" i="20" s="1"/>
  <c r="AE455" i="20" s="1"/>
  <c r="AF457" i="20"/>
  <c r="AF456" i="20" s="1"/>
  <c r="AF455" i="20" s="1"/>
  <c r="AG457" i="20"/>
  <c r="AG456" i="20" s="1"/>
  <c r="AG455" i="20" s="1"/>
  <c r="AR457" i="20"/>
  <c r="AR456" i="20" s="1"/>
  <c r="AR455" i="20" s="1"/>
  <c r="AS457" i="20"/>
  <c r="AS456" i="20" s="1"/>
  <c r="AS455" i="20" s="1"/>
  <c r="K457" i="20"/>
  <c r="K456" i="20" s="1"/>
  <c r="K455" i="20" s="1"/>
  <c r="L452" i="20"/>
  <c r="L451" i="20" s="1"/>
  <c r="M452" i="20"/>
  <c r="M451" i="20" s="1"/>
  <c r="N452" i="20"/>
  <c r="N451" i="20" s="1"/>
  <c r="O452" i="20"/>
  <c r="O451" i="20" s="1"/>
  <c r="P452" i="20"/>
  <c r="P451" i="20" s="1"/>
  <c r="S452" i="20"/>
  <c r="S451" i="20" s="1"/>
  <c r="T452" i="20"/>
  <c r="T451" i="20" s="1"/>
  <c r="U452" i="20"/>
  <c r="U451" i="20" s="1"/>
  <c r="V452" i="20"/>
  <c r="V451" i="20" s="1"/>
  <c r="X452" i="20"/>
  <c r="X451" i="20" s="1"/>
  <c r="Y452" i="20"/>
  <c r="Y451" i="20" s="1"/>
  <c r="Z452" i="20"/>
  <c r="Z451" i="20" s="1"/>
  <c r="AA452" i="20"/>
  <c r="AA451" i="20" s="1"/>
  <c r="AB452" i="20"/>
  <c r="AB451" i="20" s="1"/>
  <c r="AC452" i="20"/>
  <c r="AC451" i="20" s="1"/>
  <c r="AD452" i="20"/>
  <c r="AD451" i="20" s="1"/>
  <c r="AE452" i="20"/>
  <c r="AE451" i="20" s="1"/>
  <c r="AF452" i="20"/>
  <c r="AF451" i="20" s="1"/>
  <c r="AG452" i="20"/>
  <c r="AG451" i="20" s="1"/>
  <c r="AS452" i="20"/>
  <c r="AS451" i="20" s="1"/>
  <c r="K452" i="20"/>
  <c r="K451" i="20" s="1"/>
  <c r="L445" i="20"/>
  <c r="L444" i="20" s="1"/>
  <c r="L443" i="20" s="1"/>
  <c r="M445" i="20"/>
  <c r="M444" i="20" s="1"/>
  <c r="M443" i="20" s="1"/>
  <c r="N445" i="20"/>
  <c r="N444" i="20" s="1"/>
  <c r="N443" i="20" s="1"/>
  <c r="O445" i="20"/>
  <c r="O444" i="20" s="1"/>
  <c r="O443" i="20" s="1"/>
  <c r="P445" i="20"/>
  <c r="P444" i="20" s="1"/>
  <c r="P443" i="20" s="1"/>
  <c r="S445" i="20"/>
  <c r="S444" i="20" s="1"/>
  <c r="S443" i="20" s="1"/>
  <c r="T445" i="20"/>
  <c r="T444" i="20" s="1"/>
  <c r="T443" i="20" s="1"/>
  <c r="U445" i="20"/>
  <c r="U444" i="20" s="1"/>
  <c r="U443" i="20" s="1"/>
  <c r="V445" i="20"/>
  <c r="V444" i="20" s="1"/>
  <c r="V443" i="20" s="1"/>
  <c r="X445" i="20"/>
  <c r="X444" i="20" s="1"/>
  <c r="X443" i="20" s="1"/>
  <c r="Y445" i="20"/>
  <c r="Y444" i="20" s="1"/>
  <c r="Y443" i="20" s="1"/>
  <c r="Z445" i="20"/>
  <c r="Z444" i="20" s="1"/>
  <c r="Z443" i="20" s="1"/>
  <c r="AA445" i="20"/>
  <c r="AA444" i="20" s="1"/>
  <c r="AA443" i="20" s="1"/>
  <c r="AB445" i="20"/>
  <c r="AB444" i="20" s="1"/>
  <c r="AB443" i="20" s="1"/>
  <c r="AC445" i="20"/>
  <c r="AC444" i="20" s="1"/>
  <c r="AC443" i="20" s="1"/>
  <c r="AD445" i="20"/>
  <c r="AD444" i="20" s="1"/>
  <c r="AD443" i="20" s="1"/>
  <c r="AE445" i="20"/>
  <c r="AE444" i="20" s="1"/>
  <c r="AE443" i="20" s="1"/>
  <c r="AF445" i="20"/>
  <c r="AF444" i="20" s="1"/>
  <c r="AF443" i="20" s="1"/>
  <c r="AG445" i="20"/>
  <c r="AG444" i="20" s="1"/>
  <c r="AG443" i="20" s="1"/>
  <c r="AR445" i="20"/>
  <c r="AR444" i="20" s="1"/>
  <c r="AR443" i="20" s="1"/>
  <c r="AS445" i="20"/>
  <c r="AS444" i="20" s="1"/>
  <c r="AS443" i="20" s="1"/>
  <c r="K445" i="20"/>
  <c r="K444" i="20" s="1"/>
  <c r="K443" i="20" s="1"/>
  <c r="AH448" i="20"/>
  <c r="U449" i="20" l="1"/>
  <c r="AD449" i="20"/>
  <c r="Z449" i="20"/>
  <c r="O449" i="20"/>
  <c r="AE449" i="20"/>
  <c r="AA449" i="20"/>
  <c r="V449" i="20"/>
  <c r="P449" i="20"/>
  <c r="L449" i="20"/>
  <c r="AS449" i="20"/>
  <c r="AG449" i="20"/>
  <c r="AC449" i="20"/>
  <c r="Y449" i="20"/>
  <c r="T449" i="20"/>
  <c r="N449" i="20"/>
  <c r="AF449" i="20"/>
  <c r="AB449" i="20"/>
  <c r="X449" i="20"/>
  <c r="S449" i="20"/>
  <c r="M449" i="20"/>
  <c r="K449" i="20"/>
  <c r="BF71" i="20"/>
  <c r="AU142" i="20"/>
  <c r="AU47" i="20"/>
  <c r="AI43" i="20"/>
  <c r="AI42" i="20" s="1"/>
  <c r="AX20" i="20"/>
  <c r="L438" i="20"/>
  <c r="M438" i="20"/>
  <c r="N438" i="20"/>
  <c r="O438" i="20"/>
  <c r="P438" i="20"/>
  <c r="S438" i="20"/>
  <c r="T438" i="20"/>
  <c r="U438" i="20"/>
  <c r="V438" i="20"/>
  <c r="X438" i="20"/>
  <c r="Y438" i="20"/>
  <c r="Z438" i="20"/>
  <c r="AA438" i="20"/>
  <c r="AB438" i="20"/>
  <c r="AE438" i="20"/>
  <c r="AF438" i="20"/>
  <c r="AG438" i="20"/>
  <c r="AR438" i="20"/>
  <c r="AS438" i="20"/>
  <c r="K438" i="20"/>
  <c r="L421" i="20"/>
  <c r="M421" i="20"/>
  <c r="N421" i="20"/>
  <c r="O421" i="20"/>
  <c r="P421" i="20"/>
  <c r="T421" i="20"/>
  <c r="U421" i="20"/>
  <c r="V421" i="20"/>
  <c r="X421" i="20"/>
  <c r="Y421" i="20"/>
  <c r="Z421" i="20"/>
  <c r="AA421" i="20"/>
  <c r="AB421" i="20"/>
  <c r="AC421" i="20"/>
  <c r="AD421" i="20"/>
  <c r="AE421" i="20"/>
  <c r="AF421" i="20"/>
  <c r="AG421" i="20"/>
  <c r="AR421" i="20"/>
  <c r="K421" i="20"/>
  <c r="L398" i="20"/>
  <c r="M398" i="20"/>
  <c r="N398" i="20"/>
  <c r="O398" i="20"/>
  <c r="P398" i="20"/>
  <c r="S398" i="20"/>
  <c r="U398" i="20"/>
  <c r="V398" i="20"/>
  <c r="X398" i="20"/>
  <c r="Y398" i="20"/>
  <c r="Z398" i="20"/>
  <c r="AA398" i="20"/>
  <c r="AC398" i="20"/>
  <c r="AD398" i="20"/>
  <c r="AE398" i="20"/>
  <c r="AF398" i="20"/>
  <c r="AG398" i="20"/>
  <c r="AR398" i="20"/>
  <c r="K398" i="20"/>
  <c r="AP383" i="20"/>
  <c r="AU383" i="20" s="1"/>
  <c r="AP386" i="20"/>
  <c r="AU386" i="20" s="1"/>
  <c r="AP377" i="20"/>
  <c r="AU377" i="20" s="1"/>
  <c r="AD345" i="20"/>
  <c r="AD342" i="20" s="1"/>
  <c r="AE345" i="20"/>
  <c r="AE342" i="20" s="1"/>
  <c r="M326" i="20"/>
  <c r="N326" i="20"/>
  <c r="O326" i="20"/>
  <c r="P326" i="20"/>
  <c r="S326" i="20"/>
  <c r="T326" i="20"/>
  <c r="U326" i="20"/>
  <c r="V326" i="20"/>
  <c r="X326" i="20"/>
  <c r="Y326" i="20"/>
  <c r="Z326" i="20"/>
  <c r="AA326" i="20"/>
  <c r="AB326" i="20"/>
  <c r="AD326" i="20"/>
  <c r="AE326" i="20"/>
  <c r="AF326" i="20"/>
  <c r="AG326" i="20"/>
  <c r="AR326" i="20"/>
  <c r="AS326" i="20"/>
  <c r="L326" i="20"/>
  <c r="L324" i="20"/>
  <c r="L323" i="20" s="1"/>
  <c r="M324" i="20"/>
  <c r="M323" i="20" s="1"/>
  <c r="N324" i="20"/>
  <c r="N323" i="20" s="1"/>
  <c r="O324" i="20"/>
  <c r="O323" i="20" s="1"/>
  <c r="P324" i="20"/>
  <c r="P323" i="20" s="1"/>
  <c r="S324" i="20"/>
  <c r="S323" i="20" s="1"/>
  <c r="T324" i="20"/>
  <c r="T323" i="20" s="1"/>
  <c r="U324" i="20"/>
  <c r="U323" i="20" s="1"/>
  <c r="V324" i="20"/>
  <c r="V323" i="20" s="1"/>
  <c r="X324" i="20"/>
  <c r="X323" i="20" s="1"/>
  <c r="Y324" i="20"/>
  <c r="Y323" i="20" s="1"/>
  <c r="Z324" i="20"/>
  <c r="Z323" i="20" s="1"/>
  <c r="AA324" i="20"/>
  <c r="AA323" i="20" s="1"/>
  <c r="AB324" i="20"/>
  <c r="AB323" i="20" s="1"/>
  <c r="AC324" i="20"/>
  <c r="AC323" i="20" s="1"/>
  <c r="AD324" i="20"/>
  <c r="AD323" i="20" s="1"/>
  <c r="AE324" i="20"/>
  <c r="AE323" i="20" s="1"/>
  <c r="AF324" i="20"/>
  <c r="AF323" i="20" s="1"/>
  <c r="AG324" i="20"/>
  <c r="AG323" i="20" s="1"/>
  <c r="AQ323" i="20"/>
  <c r="AR324" i="20"/>
  <c r="AR323" i="20" s="1"/>
  <c r="AS324" i="20"/>
  <c r="AS323" i="20" s="1"/>
  <c r="K324" i="20"/>
  <c r="K323" i="20" s="1"/>
  <c r="L313" i="20"/>
  <c r="M313" i="20"/>
  <c r="N313" i="20"/>
  <c r="O313" i="20"/>
  <c r="P313" i="20"/>
  <c r="S313" i="20"/>
  <c r="T313" i="20"/>
  <c r="U313" i="20"/>
  <c r="V313" i="20"/>
  <c r="X313" i="20"/>
  <c r="Y313" i="20"/>
  <c r="Z313" i="20"/>
  <c r="AA313" i="20"/>
  <c r="AB313" i="20"/>
  <c r="AC313" i="20"/>
  <c r="AD313" i="20"/>
  <c r="AE313" i="20"/>
  <c r="AF313" i="20"/>
  <c r="AG313" i="20"/>
  <c r="AR313" i="20"/>
  <c r="AS313" i="20"/>
  <c r="K313" i="20"/>
  <c r="L306" i="20"/>
  <c r="L305" i="20" s="1"/>
  <c r="M306" i="20"/>
  <c r="M305" i="20" s="1"/>
  <c r="M304" i="20" s="1"/>
  <c r="N306" i="20"/>
  <c r="N305" i="20" s="1"/>
  <c r="N304" i="20" s="1"/>
  <c r="O306" i="20"/>
  <c r="O305" i="20" s="1"/>
  <c r="O304" i="20" s="1"/>
  <c r="P306" i="20"/>
  <c r="P305" i="20" s="1"/>
  <c r="P304" i="20" s="1"/>
  <c r="S305" i="20"/>
  <c r="S304" i="20" s="1"/>
  <c r="T305" i="20"/>
  <c r="T304" i="20" s="1"/>
  <c r="U305" i="20"/>
  <c r="U304" i="20" s="1"/>
  <c r="V305" i="20"/>
  <c r="V304" i="20" s="1"/>
  <c r="X305" i="20"/>
  <c r="X304" i="20" s="1"/>
  <c r="Y305" i="20"/>
  <c r="Y304" i="20" s="1"/>
  <c r="Z305" i="20"/>
  <c r="Z304" i="20" s="1"/>
  <c r="AA305" i="20"/>
  <c r="AA304" i="20" s="1"/>
  <c r="AB305" i="20"/>
  <c r="AB304" i="20" s="1"/>
  <c r="AC305" i="20"/>
  <c r="AC304" i="20" s="1"/>
  <c r="AD305" i="20"/>
  <c r="AD304" i="20" s="1"/>
  <c r="AE305" i="20"/>
  <c r="AE304" i="20" s="1"/>
  <c r="AF305" i="20"/>
  <c r="AF304" i="20" s="1"/>
  <c r="AG305" i="20"/>
  <c r="AG304" i="20" s="1"/>
  <c r="AR305" i="20"/>
  <c r="AR304" i="20" s="1"/>
  <c r="AS305" i="20"/>
  <c r="AS304" i="20" s="1"/>
  <c r="K306" i="20"/>
  <c r="K305" i="20" s="1"/>
  <c r="L283" i="20"/>
  <c r="L282" i="20" s="1"/>
  <c r="M283" i="20"/>
  <c r="M282" i="20" s="1"/>
  <c r="N283" i="20"/>
  <c r="N282" i="20" s="1"/>
  <c r="O283" i="20"/>
  <c r="O282" i="20" s="1"/>
  <c r="P283" i="20"/>
  <c r="P282" i="20" s="1"/>
  <c r="S283" i="20"/>
  <c r="S282" i="20" s="1"/>
  <c r="T283" i="20"/>
  <c r="T282" i="20" s="1"/>
  <c r="U283" i="20"/>
  <c r="U282" i="20" s="1"/>
  <c r="V283" i="20"/>
  <c r="V282" i="20" s="1"/>
  <c r="X283" i="20"/>
  <c r="X282" i="20" s="1"/>
  <c r="Y283" i="20"/>
  <c r="Y282" i="20" s="1"/>
  <c r="Z283" i="20"/>
  <c r="Z282" i="20" s="1"/>
  <c r="AA283" i="20"/>
  <c r="AA282" i="20" s="1"/>
  <c r="AB283" i="20"/>
  <c r="AB282" i="20" s="1"/>
  <c r="AC283" i="20"/>
  <c r="AC282" i="20" s="1"/>
  <c r="AD283" i="20"/>
  <c r="AD282" i="20" s="1"/>
  <c r="AE283" i="20"/>
  <c r="AE282" i="20" s="1"/>
  <c r="AF283" i="20"/>
  <c r="AF282" i="20" s="1"/>
  <c r="AG283" i="20"/>
  <c r="AG282" i="20" s="1"/>
  <c r="AR283" i="20"/>
  <c r="AR282" i="20" s="1"/>
  <c r="AS283" i="20"/>
  <c r="AS282" i="20" s="1"/>
  <c r="K283" i="20"/>
  <c r="K282" i="20" s="1"/>
  <c r="L286" i="20"/>
  <c r="L285" i="20" s="1"/>
  <c r="M286" i="20"/>
  <c r="M285" i="20" s="1"/>
  <c r="N286" i="20"/>
  <c r="N285" i="20" s="1"/>
  <c r="O286" i="20"/>
  <c r="O285" i="20" s="1"/>
  <c r="P286" i="20"/>
  <c r="P285" i="20" s="1"/>
  <c r="S286" i="20"/>
  <c r="S285" i="20" s="1"/>
  <c r="T286" i="20"/>
  <c r="T285" i="20" s="1"/>
  <c r="U286" i="20"/>
  <c r="U285" i="20" s="1"/>
  <c r="V286" i="20"/>
  <c r="V285" i="20" s="1"/>
  <c r="X286" i="20"/>
  <c r="X285" i="20" s="1"/>
  <c r="Y286" i="20"/>
  <c r="Y285" i="20" s="1"/>
  <c r="Z286" i="20"/>
  <c r="Z285" i="20" s="1"/>
  <c r="AA286" i="20"/>
  <c r="AA285" i="20" s="1"/>
  <c r="AB286" i="20"/>
  <c r="AB285" i="20" s="1"/>
  <c r="AC286" i="20"/>
  <c r="AC285" i="20" s="1"/>
  <c r="AD286" i="20"/>
  <c r="AD285" i="20" s="1"/>
  <c r="AE286" i="20"/>
  <c r="AE285" i="20" s="1"/>
  <c r="AF286" i="20"/>
  <c r="AF285" i="20" s="1"/>
  <c r="AG286" i="20"/>
  <c r="AG285" i="20" s="1"/>
  <c r="AR286" i="20"/>
  <c r="AR285" i="20" s="1"/>
  <c r="AS286" i="20"/>
  <c r="AS285" i="20" s="1"/>
  <c r="K286" i="20"/>
  <c r="K285" i="20" s="1"/>
  <c r="L278" i="20"/>
  <c r="M278" i="20"/>
  <c r="N278" i="20"/>
  <c r="O278" i="20"/>
  <c r="P278" i="20"/>
  <c r="S278" i="20"/>
  <c r="T278" i="20"/>
  <c r="U278" i="20"/>
  <c r="V278" i="20"/>
  <c r="X278" i="20"/>
  <c r="Y278" i="20"/>
  <c r="Z278" i="20"/>
  <c r="AA278" i="20"/>
  <c r="AB278" i="20"/>
  <c r="AC278" i="20"/>
  <c r="AD278" i="20"/>
  <c r="AE278" i="20"/>
  <c r="AF278" i="20"/>
  <c r="AG278" i="20"/>
  <c r="K278" i="20"/>
  <c r="AS278" i="20"/>
  <c r="M254" i="20"/>
  <c r="N254" i="20"/>
  <c r="P254" i="20"/>
  <c r="U254" i="20"/>
  <c r="V254" i="20"/>
  <c r="X254" i="20"/>
  <c r="Y254" i="20"/>
  <c r="Z254" i="20"/>
  <c r="AA254" i="20"/>
  <c r="AB254" i="20"/>
  <c r="AC254" i="20"/>
  <c r="AD254" i="20"/>
  <c r="AE254" i="20"/>
  <c r="AF254" i="20"/>
  <c r="AG254" i="20"/>
  <c r="AQ254" i="20"/>
  <c r="AR254" i="20"/>
  <c r="AS254" i="20"/>
  <c r="K254" i="20"/>
  <c r="L252" i="20"/>
  <c r="L251" i="20" s="1"/>
  <c r="M252" i="20"/>
  <c r="M251" i="20" s="1"/>
  <c r="M250" i="20" s="1"/>
  <c r="N252" i="20"/>
  <c r="N251" i="20" s="1"/>
  <c r="N250" i="20" s="1"/>
  <c r="O252" i="20"/>
  <c r="O251" i="20" s="1"/>
  <c r="P252" i="20"/>
  <c r="P251" i="20" s="1"/>
  <c r="S252" i="20"/>
  <c r="S251" i="20" s="1"/>
  <c r="T252" i="20"/>
  <c r="T251" i="20" s="1"/>
  <c r="U252" i="20"/>
  <c r="U251" i="20" s="1"/>
  <c r="V252" i="20"/>
  <c r="V251" i="20" s="1"/>
  <c r="X252" i="20"/>
  <c r="X251" i="20" s="1"/>
  <c r="Y252" i="20"/>
  <c r="Y251" i="20" s="1"/>
  <c r="Z252" i="20"/>
  <c r="Z251" i="20" s="1"/>
  <c r="AA252" i="20"/>
  <c r="AA251" i="20" s="1"/>
  <c r="AC252" i="20"/>
  <c r="AC251" i="20" s="1"/>
  <c r="AD252" i="20"/>
  <c r="AD251" i="20" s="1"/>
  <c r="AE252" i="20"/>
  <c r="AE251" i="20" s="1"/>
  <c r="AF252" i="20"/>
  <c r="AF251" i="20" s="1"/>
  <c r="AG252" i="20"/>
  <c r="AG251" i="20" s="1"/>
  <c r="AQ252" i="20"/>
  <c r="AQ251" i="20" s="1"/>
  <c r="AR252" i="20"/>
  <c r="AR251" i="20" s="1"/>
  <c r="AS252" i="20"/>
  <c r="AS251" i="20" s="1"/>
  <c r="K251" i="20"/>
  <c r="L227" i="20"/>
  <c r="L226" i="20" s="1"/>
  <c r="M227" i="20"/>
  <c r="M226" i="20" s="1"/>
  <c r="N227" i="20"/>
  <c r="N226" i="20" s="1"/>
  <c r="O227" i="20"/>
  <c r="O226" i="20" s="1"/>
  <c r="P227" i="20"/>
  <c r="P226" i="20" s="1"/>
  <c r="S227" i="20"/>
  <c r="S226" i="20" s="1"/>
  <c r="T227" i="20"/>
  <c r="T226" i="20" s="1"/>
  <c r="U227" i="20"/>
  <c r="U226" i="20" s="1"/>
  <c r="V227" i="20"/>
  <c r="V226" i="20" s="1"/>
  <c r="X227" i="20"/>
  <c r="X226" i="20" s="1"/>
  <c r="Y227" i="20"/>
  <c r="Y226" i="20" s="1"/>
  <c r="Z227" i="20"/>
  <c r="Z226" i="20" s="1"/>
  <c r="AA227" i="20"/>
  <c r="AA226" i="20" s="1"/>
  <c r="AB227" i="20"/>
  <c r="AB226" i="20" s="1"/>
  <c r="AC227" i="20"/>
  <c r="AC226" i="20" s="1"/>
  <c r="AD227" i="20"/>
  <c r="AD226" i="20" s="1"/>
  <c r="AE227" i="20"/>
  <c r="AE226" i="20" s="1"/>
  <c r="AF227" i="20"/>
  <c r="AF226" i="20" s="1"/>
  <c r="AG227" i="20"/>
  <c r="AG226" i="20" s="1"/>
  <c r="AR227" i="20"/>
  <c r="AR226" i="20" s="1"/>
  <c r="AS227" i="20"/>
  <c r="AS226" i="20" s="1"/>
  <c r="K227" i="20"/>
  <c r="K226" i="20" s="1"/>
  <c r="L222" i="20"/>
  <c r="O222" i="20"/>
  <c r="P222" i="20"/>
  <c r="P221" i="20" s="1"/>
  <c r="S222" i="20"/>
  <c r="T222" i="20"/>
  <c r="U222" i="20"/>
  <c r="U221" i="20" s="1"/>
  <c r="V222" i="20"/>
  <c r="Z222" i="20"/>
  <c r="AA222" i="20"/>
  <c r="AB222" i="20"/>
  <c r="AC222" i="20"/>
  <c r="AD222" i="20"/>
  <c r="AE222" i="20"/>
  <c r="AF222" i="20"/>
  <c r="AG222" i="20"/>
  <c r="AQ222" i="20"/>
  <c r="AR222" i="20"/>
  <c r="AS222" i="20"/>
  <c r="K222" i="20"/>
  <c r="L197" i="20"/>
  <c r="M197" i="20"/>
  <c r="N197" i="20"/>
  <c r="O197" i="20"/>
  <c r="P197" i="20"/>
  <c r="S197" i="20"/>
  <c r="T197" i="20"/>
  <c r="U197" i="20"/>
  <c r="V197" i="20"/>
  <c r="X197" i="20"/>
  <c r="Y197" i="20"/>
  <c r="Z197" i="20"/>
  <c r="AA197" i="20"/>
  <c r="AB197" i="20"/>
  <c r="AC197" i="20"/>
  <c r="AD197" i="20"/>
  <c r="AE197" i="20"/>
  <c r="AF197" i="20"/>
  <c r="AG197" i="20"/>
  <c r="K197" i="20"/>
  <c r="M207" i="20"/>
  <c r="N207" i="20"/>
  <c r="O207" i="20"/>
  <c r="P207" i="20"/>
  <c r="S207" i="20"/>
  <c r="T207" i="20"/>
  <c r="U207" i="20"/>
  <c r="V207" i="20"/>
  <c r="X207" i="20"/>
  <c r="Y207" i="20"/>
  <c r="Z207" i="20"/>
  <c r="AA207" i="20"/>
  <c r="AB207" i="20"/>
  <c r="AC207" i="20"/>
  <c r="AD207" i="20"/>
  <c r="AE207" i="20"/>
  <c r="AF207" i="20"/>
  <c r="AG207" i="20"/>
  <c r="AR207" i="20"/>
  <c r="AS207" i="20"/>
  <c r="K207" i="20"/>
  <c r="L203" i="20"/>
  <c r="L202" i="20" s="1"/>
  <c r="M203" i="20"/>
  <c r="M202" i="20" s="1"/>
  <c r="N203" i="20"/>
  <c r="N202" i="20" s="1"/>
  <c r="O203" i="20"/>
  <c r="O202" i="20" s="1"/>
  <c r="P203" i="20"/>
  <c r="P202" i="20" s="1"/>
  <c r="S203" i="20"/>
  <c r="S202" i="20" s="1"/>
  <c r="T203" i="20"/>
  <c r="T202" i="20" s="1"/>
  <c r="U203" i="20"/>
  <c r="U202" i="20" s="1"/>
  <c r="V203" i="20"/>
  <c r="V202" i="20" s="1"/>
  <c r="X203" i="20"/>
  <c r="X202" i="20" s="1"/>
  <c r="Y203" i="20"/>
  <c r="Y202" i="20" s="1"/>
  <c r="Z203" i="20"/>
  <c r="Z202" i="20" s="1"/>
  <c r="AA203" i="20"/>
  <c r="AA202" i="20" s="1"/>
  <c r="AB203" i="20"/>
  <c r="AB202" i="20" s="1"/>
  <c r="AC203" i="20"/>
  <c r="AC202" i="20" s="1"/>
  <c r="AD203" i="20"/>
  <c r="AD202" i="20" s="1"/>
  <c r="AE203" i="20"/>
  <c r="AE202" i="20" s="1"/>
  <c r="AF203" i="20"/>
  <c r="AF202" i="20" s="1"/>
  <c r="AG203" i="20"/>
  <c r="AG202" i="20" s="1"/>
  <c r="AR203" i="20"/>
  <c r="AR202" i="20" s="1"/>
  <c r="AS203" i="20"/>
  <c r="AS202" i="20" s="1"/>
  <c r="K203" i="20"/>
  <c r="K202" i="20" s="1"/>
  <c r="AR197" i="20"/>
  <c r="AS197" i="20"/>
  <c r="AQ186" i="20"/>
  <c r="AQ191" i="20"/>
  <c r="L186" i="20"/>
  <c r="M186" i="20"/>
  <c r="N186" i="20"/>
  <c r="O186" i="20"/>
  <c r="P186" i="20"/>
  <c r="S186" i="20"/>
  <c r="T186" i="20"/>
  <c r="U186" i="20"/>
  <c r="V186" i="20"/>
  <c r="X186" i="20"/>
  <c r="Y186" i="20"/>
  <c r="Z186" i="20"/>
  <c r="AA186" i="20"/>
  <c r="AB186" i="20"/>
  <c r="AC186" i="20"/>
  <c r="AD186" i="20"/>
  <c r="AE186" i="20"/>
  <c r="AF186" i="20"/>
  <c r="AG186" i="20"/>
  <c r="AR186" i="20"/>
  <c r="AS186" i="20"/>
  <c r="K186" i="20"/>
  <c r="K188" i="20"/>
  <c r="L178" i="20"/>
  <c r="M178" i="20"/>
  <c r="N178" i="20"/>
  <c r="O178" i="20"/>
  <c r="P178" i="20"/>
  <c r="S178" i="20"/>
  <c r="T178" i="20"/>
  <c r="U178" i="20"/>
  <c r="V178" i="20"/>
  <c r="X178" i="20"/>
  <c r="Y178" i="20"/>
  <c r="Z178" i="20"/>
  <c r="AA178" i="20"/>
  <c r="AB178" i="20"/>
  <c r="AC178" i="20"/>
  <c r="AD178" i="20"/>
  <c r="AE178" i="20"/>
  <c r="AF178" i="20"/>
  <c r="AG178" i="20"/>
  <c r="AR178" i="20"/>
  <c r="AS178" i="20"/>
  <c r="K178" i="20"/>
  <c r="L173" i="20"/>
  <c r="M173" i="20"/>
  <c r="N173" i="20"/>
  <c r="O173" i="20"/>
  <c r="P173" i="20"/>
  <c r="S173" i="20"/>
  <c r="T173" i="20"/>
  <c r="U173" i="20"/>
  <c r="V173" i="20"/>
  <c r="X173" i="20"/>
  <c r="Y173" i="20"/>
  <c r="Z173" i="20"/>
  <c r="AA173" i="20"/>
  <c r="AC173" i="20"/>
  <c r="AD173" i="20"/>
  <c r="AE173" i="20"/>
  <c r="AF173" i="20"/>
  <c r="AG173" i="20"/>
  <c r="AR173" i="20"/>
  <c r="AS173" i="20"/>
  <c r="K173" i="20"/>
  <c r="L143" i="20"/>
  <c r="L140" i="20" s="1"/>
  <c r="M143" i="20"/>
  <c r="M140" i="20" s="1"/>
  <c r="N143" i="20"/>
  <c r="N140" i="20" s="1"/>
  <c r="O143" i="20"/>
  <c r="O140" i="20" s="1"/>
  <c r="P143" i="20"/>
  <c r="P140" i="20" s="1"/>
  <c r="S143" i="20"/>
  <c r="S140" i="20" s="1"/>
  <c r="T143" i="20"/>
  <c r="T140" i="20" s="1"/>
  <c r="U143" i="20"/>
  <c r="U140" i="20" s="1"/>
  <c r="V143" i="20"/>
  <c r="V140" i="20" s="1"/>
  <c r="X143" i="20"/>
  <c r="X140" i="20" s="1"/>
  <c r="Y143" i="20"/>
  <c r="Y140" i="20" s="1"/>
  <c r="Z143" i="20"/>
  <c r="Z140" i="20" s="1"/>
  <c r="AA143" i="20"/>
  <c r="AA140" i="20" s="1"/>
  <c r="AB143" i="20"/>
  <c r="AB140" i="20" s="1"/>
  <c r="AC143" i="20"/>
  <c r="AD143" i="20"/>
  <c r="AD140" i="20" s="1"/>
  <c r="AE143" i="20"/>
  <c r="AE140" i="20" s="1"/>
  <c r="AF143" i="20"/>
  <c r="AF140" i="20" s="1"/>
  <c r="AG143" i="20"/>
  <c r="AG140" i="20" s="1"/>
  <c r="AR143" i="20"/>
  <c r="AR140" i="20" s="1"/>
  <c r="AS143" i="20"/>
  <c r="AS140" i="20" s="1"/>
  <c r="L155" i="20"/>
  <c r="M155" i="20"/>
  <c r="N155" i="20"/>
  <c r="O155" i="20"/>
  <c r="P155" i="20"/>
  <c r="S155" i="20"/>
  <c r="T155" i="20"/>
  <c r="U155" i="20"/>
  <c r="V155" i="20"/>
  <c r="X155" i="20"/>
  <c r="Y155" i="20"/>
  <c r="Z155" i="20"/>
  <c r="AA155" i="20"/>
  <c r="AB155" i="20"/>
  <c r="AC155" i="20"/>
  <c r="AD155" i="20"/>
  <c r="AF155" i="20"/>
  <c r="AG155" i="20"/>
  <c r="K155" i="20"/>
  <c r="AR155" i="20"/>
  <c r="AS155" i="20"/>
  <c r="M146" i="20"/>
  <c r="N146" i="20"/>
  <c r="O146" i="20"/>
  <c r="U146" i="20"/>
  <c r="V146" i="20"/>
  <c r="X146" i="20"/>
  <c r="Y146" i="20"/>
  <c r="Z146" i="20"/>
  <c r="AA146" i="20"/>
  <c r="AB146" i="20"/>
  <c r="AC146" i="20"/>
  <c r="AD146" i="20"/>
  <c r="AE146" i="20"/>
  <c r="AF146" i="20"/>
  <c r="AG146" i="20"/>
  <c r="K146" i="20"/>
  <c r="L123" i="20"/>
  <c r="M123" i="20"/>
  <c r="N123" i="20"/>
  <c r="O123" i="20"/>
  <c r="P123" i="20"/>
  <c r="S123" i="20"/>
  <c r="T123" i="20"/>
  <c r="U123" i="20"/>
  <c r="V123" i="20"/>
  <c r="X123" i="20"/>
  <c r="Y123" i="20"/>
  <c r="Z123" i="20"/>
  <c r="AA123" i="20"/>
  <c r="AB123" i="20"/>
  <c r="AC123" i="20"/>
  <c r="AD123" i="20"/>
  <c r="AE123" i="20"/>
  <c r="AF123" i="20"/>
  <c r="AG123" i="20"/>
  <c r="AR123" i="20"/>
  <c r="AS123" i="20"/>
  <c r="K123" i="20"/>
  <c r="M117" i="20"/>
  <c r="N117" i="20"/>
  <c r="P117" i="20"/>
  <c r="P116" i="20" s="1"/>
  <c r="T117" i="20"/>
  <c r="U117" i="20"/>
  <c r="V117" i="20"/>
  <c r="X117" i="20"/>
  <c r="Y117" i="20"/>
  <c r="Z117" i="20"/>
  <c r="AA117" i="20"/>
  <c r="AB117" i="20"/>
  <c r="AC117" i="20"/>
  <c r="AD117" i="20"/>
  <c r="AE117" i="20"/>
  <c r="AF117" i="20"/>
  <c r="AG117" i="20"/>
  <c r="AR117" i="20"/>
  <c r="AS117" i="20"/>
  <c r="K117" i="20"/>
  <c r="L93" i="20"/>
  <c r="M93" i="20"/>
  <c r="N93" i="20"/>
  <c r="O93" i="20"/>
  <c r="P93" i="20"/>
  <c r="S93" i="20"/>
  <c r="T93" i="20"/>
  <c r="U93" i="20"/>
  <c r="V93" i="20"/>
  <c r="X93" i="20"/>
  <c r="Y93" i="20"/>
  <c r="Z93" i="20"/>
  <c r="AA93" i="20"/>
  <c r="AB93" i="20"/>
  <c r="AC93" i="20"/>
  <c r="AD93" i="20"/>
  <c r="AE93" i="20"/>
  <c r="AF93" i="20"/>
  <c r="AG93" i="20"/>
  <c r="AR93" i="20"/>
  <c r="AS93" i="20"/>
  <c r="K93" i="20"/>
  <c r="M88" i="20"/>
  <c r="N88" i="20"/>
  <c r="P88" i="20"/>
  <c r="P87" i="20" s="1"/>
  <c r="S88" i="20"/>
  <c r="S87" i="20" s="1"/>
  <c r="T88" i="20"/>
  <c r="U88" i="20"/>
  <c r="U87" i="20" s="1"/>
  <c r="V88" i="20"/>
  <c r="X88" i="20"/>
  <c r="X87" i="20" s="1"/>
  <c r="Y88" i="20"/>
  <c r="Y87" i="20" s="1"/>
  <c r="Z88" i="20"/>
  <c r="Z87" i="20" s="1"/>
  <c r="AA88" i="20"/>
  <c r="AA87" i="20" s="1"/>
  <c r="AB88" i="20"/>
  <c r="AC88" i="20"/>
  <c r="AC87" i="20" s="1"/>
  <c r="AD88" i="20"/>
  <c r="AE88" i="20"/>
  <c r="AE87" i="20" s="1"/>
  <c r="AF88" i="20"/>
  <c r="AG88" i="20"/>
  <c r="AQ88" i="20"/>
  <c r="AR88" i="20"/>
  <c r="AS88" i="20"/>
  <c r="N312" i="20" l="1"/>
  <c r="P312" i="20"/>
  <c r="V221" i="20"/>
  <c r="O312" i="20"/>
  <c r="M312" i="20"/>
  <c r="L312" i="20"/>
  <c r="K312" i="20"/>
  <c r="X250" i="20"/>
  <c r="AS250" i="20"/>
  <c r="AS312" i="20"/>
  <c r="K139" i="20"/>
  <c r="K250" i="20"/>
  <c r="AG250" i="20"/>
  <c r="AC250" i="20"/>
  <c r="AF250" i="20"/>
  <c r="AR312" i="20"/>
  <c r="O221" i="20"/>
  <c r="AQ250" i="20"/>
  <c r="Z250" i="20"/>
  <c r="U250" i="20"/>
  <c r="AD250" i="20"/>
  <c r="Y250" i="20"/>
  <c r="P250" i="20"/>
  <c r="AA250" i="20"/>
  <c r="V250" i="20"/>
  <c r="AR250" i="20"/>
  <c r="AE250" i="20"/>
  <c r="AG87" i="20"/>
  <c r="AG86" i="20" s="1"/>
  <c r="T87" i="20"/>
  <c r="T86" i="20" s="1"/>
  <c r="K116" i="20"/>
  <c r="AF116" i="20"/>
  <c r="AB116" i="20"/>
  <c r="X116" i="20"/>
  <c r="K221" i="20"/>
  <c r="AE86" i="20"/>
  <c r="AA86" i="20"/>
  <c r="P86" i="20"/>
  <c r="AF221" i="20"/>
  <c r="AB221" i="20"/>
  <c r="AF277" i="20"/>
  <c r="X277" i="20"/>
  <c r="S277" i="20"/>
  <c r="M277" i="20"/>
  <c r="M116" i="20"/>
  <c r="S221" i="20"/>
  <c r="X86" i="20"/>
  <c r="S86" i="20"/>
  <c r="AG221" i="20"/>
  <c r="AC221" i="20"/>
  <c r="AG277" i="20"/>
  <c r="AC277" i="20"/>
  <c r="Y277" i="20"/>
  <c r="T277" i="20"/>
  <c r="N277" i="20"/>
  <c r="AD116" i="20"/>
  <c r="Z116" i="20"/>
  <c r="U116" i="20"/>
  <c r="AC86" i="20"/>
  <c r="Y86" i="20"/>
  <c r="AD221" i="20"/>
  <c r="Z221" i="20"/>
  <c r="K277" i="20"/>
  <c r="AD277" i="20"/>
  <c r="Z277" i="20"/>
  <c r="U277" i="20"/>
  <c r="O277" i="20"/>
  <c r="Z86" i="20"/>
  <c r="U86" i="20"/>
  <c r="AE221" i="20"/>
  <c r="AA221" i="20"/>
  <c r="L221" i="20"/>
  <c r="AE277" i="20"/>
  <c r="AA277" i="20"/>
  <c r="V277" i="20"/>
  <c r="P277" i="20"/>
  <c r="L277" i="20"/>
  <c r="AG116" i="20"/>
  <c r="AE116" i="20"/>
  <c r="AC116" i="20"/>
  <c r="AA116" i="20"/>
  <c r="Y116" i="20"/>
  <c r="V116" i="20"/>
  <c r="T116" i="20"/>
  <c r="N116" i="20"/>
  <c r="AG139" i="20"/>
  <c r="AA139" i="20"/>
  <c r="Y139" i="20"/>
  <c r="V139" i="20"/>
  <c r="N139" i="20"/>
  <c r="K196" i="20"/>
  <c r="AF196" i="20"/>
  <c r="AD196" i="20"/>
  <c r="AB196" i="20"/>
  <c r="Z196" i="20"/>
  <c r="X196" i="20"/>
  <c r="U196" i="20"/>
  <c r="S196" i="20"/>
  <c r="O196" i="20"/>
  <c r="M196" i="20"/>
  <c r="AF139" i="20"/>
  <c r="AD139" i="20"/>
  <c r="AB139" i="20"/>
  <c r="Z139" i="20"/>
  <c r="X139" i="20"/>
  <c r="U139" i="20"/>
  <c r="O139" i="20"/>
  <c r="M139" i="20"/>
  <c r="AG196" i="20"/>
  <c r="AE196" i="20"/>
  <c r="AC196" i="20"/>
  <c r="AA196" i="20"/>
  <c r="Y196" i="20"/>
  <c r="V196" i="20"/>
  <c r="T196" i="20"/>
  <c r="P196" i="20"/>
  <c r="N196" i="20"/>
  <c r="AP215" i="20"/>
  <c r="AT249" i="20"/>
  <c r="AF87" i="20"/>
  <c r="AF86" i="20" s="1"/>
  <c r="AD87" i="20"/>
  <c r="AD86" i="20" s="1"/>
  <c r="AS221" i="20"/>
  <c r="AR221" i="20"/>
  <c r="AR116" i="20"/>
  <c r="AS116" i="20"/>
  <c r="AS146" i="20"/>
  <c r="AS139" i="20" s="1"/>
  <c r="AR146" i="20"/>
  <c r="AR139" i="20" s="1"/>
  <c r="V87" i="20"/>
  <c r="V86" i="20" s="1"/>
  <c r="AU141" i="20"/>
  <c r="K437" i="20"/>
  <c r="AB437" i="20"/>
  <c r="AB436" i="20" s="1"/>
  <c r="X437" i="20"/>
  <c r="S437" i="20"/>
  <c r="S436" i="20" s="1"/>
  <c r="M437" i="20"/>
  <c r="Y437" i="20"/>
  <c r="AR437" i="20"/>
  <c r="AR436" i="20" s="1"/>
  <c r="T437" i="20"/>
  <c r="T436" i="20" s="1"/>
  <c r="N437" i="20"/>
  <c r="AS437" i="20"/>
  <c r="AS436" i="20" s="1"/>
  <c r="AE437" i="20"/>
  <c r="Z437" i="20"/>
  <c r="U437" i="20"/>
  <c r="O437" i="20"/>
  <c r="AG437" i="20"/>
  <c r="Z412" i="20"/>
  <c r="Z393" i="20" s="1"/>
  <c r="U412" i="20"/>
  <c r="U393" i="20" s="1"/>
  <c r="O412" i="20"/>
  <c r="O393" i="20" s="1"/>
  <c r="AA437" i="20"/>
  <c r="V437" i="20"/>
  <c r="P437" i="20"/>
  <c r="L437" i="20"/>
  <c r="L436" i="20" s="1"/>
  <c r="AF437" i="20"/>
  <c r="AR412" i="20"/>
  <c r="AD412" i="20"/>
  <c r="AD393" i="20" s="1"/>
  <c r="AG412" i="20"/>
  <c r="AG393" i="20" s="1"/>
  <c r="Y412" i="20"/>
  <c r="Y393" i="20" s="1"/>
  <c r="N412" i="20"/>
  <c r="N393" i="20" s="1"/>
  <c r="K412" i="20"/>
  <c r="K393" i="20" s="1"/>
  <c r="AF412" i="20"/>
  <c r="AF393" i="20" s="1"/>
  <c r="X412" i="20"/>
  <c r="X393" i="20" s="1"/>
  <c r="M412" i="20"/>
  <c r="M393" i="20" s="1"/>
  <c r="AE412" i="20"/>
  <c r="AE393" i="20" s="1"/>
  <c r="AA412" i="20"/>
  <c r="AA393" i="20" s="1"/>
  <c r="V412" i="20"/>
  <c r="V393" i="20" s="1"/>
  <c r="P412" i="20"/>
  <c r="P393" i="20" s="1"/>
  <c r="AB87" i="20"/>
  <c r="AB86" i="20" s="1"/>
  <c r="K185" i="20"/>
  <c r="K172" i="20" s="1"/>
  <c r="AR185" i="20"/>
  <c r="AR172" i="20" s="1"/>
  <c r="AS185" i="20"/>
  <c r="AS172" i="20" s="1"/>
  <c r="AF185" i="20"/>
  <c r="AF172" i="20" s="1"/>
  <c r="AB185" i="20"/>
  <c r="X185" i="20"/>
  <c r="X172" i="20" s="1"/>
  <c r="S185" i="20"/>
  <c r="S172" i="20" s="1"/>
  <c r="M185" i="20"/>
  <c r="M172" i="20" s="1"/>
  <c r="AE185" i="20"/>
  <c r="AE172" i="20" s="1"/>
  <c r="AA185" i="20"/>
  <c r="AA172" i="20" s="1"/>
  <c r="V185" i="20"/>
  <c r="V172" i="20" s="1"/>
  <c r="P185" i="20"/>
  <c r="P172" i="20" s="1"/>
  <c r="L185" i="20"/>
  <c r="L172" i="20" s="1"/>
  <c r="AD185" i="20"/>
  <c r="AD172" i="20" s="1"/>
  <c r="Z185" i="20"/>
  <c r="Z172" i="20" s="1"/>
  <c r="U185" i="20"/>
  <c r="U172" i="20" s="1"/>
  <c r="O185" i="20"/>
  <c r="O172" i="20" s="1"/>
  <c r="AG185" i="20"/>
  <c r="AG172" i="20" s="1"/>
  <c r="AC185" i="20"/>
  <c r="AC172" i="20" s="1"/>
  <c r="Y185" i="20"/>
  <c r="Y172" i="20" s="1"/>
  <c r="T185" i="20"/>
  <c r="T172" i="20" s="1"/>
  <c r="N185" i="20"/>
  <c r="N172" i="20" s="1"/>
  <c r="AR87" i="20"/>
  <c r="AR86" i="20" s="1"/>
  <c r="N87" i="20"/>
  <c r="N86" i="20" s="1"/>
  <c r="AS87" i="20"/>
  <c r="AS86" i="20" s="1"/>
  <c r="K87" i="20"/>
  <c r="K86" i="20" s="1"/>
  <c r="M87" i="20"/>
  <c r="M86" i="20" s="1"/>
  <c r="P436" i="20" l="1"/>
  <c r="P435" i="20" s="1"/>
  <c r="N436" i="20"/>
  <c r="N435" i="20" s="1"/>
  <c r="K436" i="20"/>
  <c r="K435" i="20" s="1"/>
  <c r="V436" i="20"/>
  <c r="V435" i="20" s="1"/>
  <c r="Z436" i="20"/>
  <c r="Z435" i="20" s="1"/>
  <c r="M436" i="20"/>
  <c r="M435" i="20" s="1"/>
  <c r="AA436" i="20"/>
  <c r="AA435" i="20" s="1"/>
  <c r="AE436" i="20"/>
  <c r="AE435" i="20" s="1"/>
  <c r="X436" i="20"/>
  <c r="X435" i="20" s="1"/>
  <c r="U436" i="20"/>
  <c r="U435" i="20" s="1"/>
  <c r="O436" i="20"/>
  <c r="O435" i="20" s="1"/>
  <c r="Y436" i="20"/>
  <c r="Y435" i="20" s="1"/>
  <c r="V62" i="20"/>
  <c r="V61" i="20" s="1"/>
  <c r="U62" i="20"/>
  <c r="U61" i="20" s="1"/>
  <c r="P62" i="20"/>
  <c r="O62" i="20"/>
  <c r="N62" i="20"/>
  <c r="M62" i="20"/>
  <c r="L62" i="20"/>
  <c r="K62" i="20"/>
  <c r="Z62" i="20"/>
  <c r="Z61" i="20" s="1"/>
  <c r="AA62" i="20"/>
  <c r="AA61" i="20" s="1"/>
  <c r="AC62" i="20"/>
  <c r="AC61" i="20" s="1"/>
  <c r="AD62" i="20"/>
  <c r="AD61" i="20" s="1"/>
  <c r="AE62" i="20"/>
  <c r="AE61" i="20" s="1"/>
  <c r="AF62" i="20"/>
  <c r="AF61" i="20" s="1"/>
  <c r="AG62" i="20"/>
  <c r="AG61" i="20" s="1"/>
  <c r="AQ62" i="20"/>
  <c r="AQ61" i="20" s="1"/>
  <c r="AR62" i="20"/>
  <c r="AS62" i="20"/>
  <c r="Y62" i="20"/>
  <c r="Y61" i="20" s="1"/>
  <c r="K77" i="20"/>
  <c r="L77" i="20"/>
  <c r="M77" i="20"/>
  <c r="N77" i="20"/>
  <c r="O77" i="20"/>
  <c r="P77" i="20"/>
  <c r="S77" i="20"/>
  <c r="U77" i="20"/>
  <c r="V77" i="20"/>
  <c r="X77" i="20"/>
  <c r="Y77" i="20"/>
  <c r="Z77" i="20"/>
  <c r="AA77" i="20"/>
  <c r="AB77" i="20"/>
  <c r="AC77" i="20"/>
  <c r="AD77" i="20"/>
  <c r="AE77" i="20"/>
  <c r="AF77" i="20"/>
  <c r="AG77" i="20"/>
  <c r="AR77" i="20"/>
  <c r="AS77" i="20"/>
  <c r="J78" i="20"/>
  <c r="J77" i="20" s="1"/>
  <c r="AM62" i="20"/>
  <c r="AN63" i="20"/>
  <c r="AN62" i="20" s="1"/>
  <c r="AO63" i="20"/>
  <c r="AO62" i="20" s="1"/>
  <c r="AN65" i="20"/>
  <c r="AO65" i="20"/>
  <c r="AN69" i="20"/>
  <c r="AO69" i="20"/>
  <c r="AN66" i="20"/>
  <c r="AO66" i="20"/>
  <c r="AN70" i="20"/>
  <c r="AO70" i="20"/>
  <c r="AN71" i="20"/>
  <c r="AO71" i="20"/>
  <c r="AN72" i="20"/>
  <c r="AO72" i="20"/>
  <c r="AN73" i="20"/>
  <c r="AO73" i="20"/>
  <c r="AN74" i="20"/>
  <c r="AO74" i="20"/>
  <c r="AN75" i="20"/>
  <c r="AO75" i="20"/>
  <c r="AL82" i="20"/>
  <c r="AM82" i="20"/>
  <c r="AN82" i="20"/>
  <c r="AO82" i="20"/>
  <c r="AL83" i="20"/>
  <c r="BG83" i="20" s="1"/>
  <c r="AM83" i="20"/>
  <c r="AN83" i="20"/>
  <c r="AO83" i="20"/>
  <c r="AN91" i="20"/>
  <c r="AO91" i="20"/>
  <c r="AN92" i="20"/>
  <c r="AO92" i="20"/>
  <c r="AN89" i="20"/>
  <c r="AN88" i="20" s="1"/>
  <c r="AO89" i="20"/>
  <c r="AO88" i="20" s="1"/>
  <c r="AM95" i="20"/>
  <c r="AN95" i="20"/>
  <c r="AO95" i="20"/>
  <c r="AN97" i="20"/>
  <c r="AO97" i="20"/>
  <c r="AN98" i="20"/>
  <c r="AO98" i="20"/>
  <c r="AN99" i="20"/>
  <c r="AO99" i="20"/>
  <c r="AN100" i="20"/>
  <c r="AO100" i="20"/>
  <c r="AN101" i="20"/>
  <c r="AO101" i="20"/>
  <c r="AN102" i="20"/>
  <c r="AO102" i="20"/>
  <c r="AN96" i="20"/>
  <c r="AO96" i="20"/>
  <c r="AM105" i="20"/>
  <c r="AN105" i="20"/>
  <c r="AO105" i="20"/>
  <c r="AM107" i="20"/>
  <c r="AN107" i="20"/>
  <c r="AO107" i="20"/>
  <c r="AN109" i="20"/>
  <c r="AL112" i="20"/>
  <c r="AL111" i="20" s="1"/>
  <c r="AM112" i="20"/>
  <c r="AM111" i="20" s="1"/>
  <c r="AN112" i="20"/>
  <c r="AN111" i="20" s="1"/>
  <c r="AO112" i="20"/>
  <c r="AO111" i="20" s="1"/>
  <c r="AN119" i="20"/>
  <c r="AO119" i="20"/>
  <c r="AN120" i="20"/>
  <c r="AO120" i="20"/>
  <c r="AN121" i="20"/>
  <c r="AO121" i="20"/>
  <c r="AN122" i="20"/>
  <c r="AO122" i="20"/>
  <c r="AN125" i="20"/>
  <c r="AN130" i="20"/>
  <c r="AN126" i="20"/>
  <c r="AN127" i="20"/>
  <c r="AN128" i="20"/>
  <c r="AN129" i="20"/>
  <c r="AL136" i="20"/>
  <c r="AL132" i="20" s="1"/>
  <c r="AN136" i="20"/>
  <c r="AN132" i="20" s="1"/>
  <c r="AO136" i="20"/>
  <c r="AO132" i="20" s="1"/>
  <c r="AM131" i="20"/>
  <c r="AL142" i="20"/>
  <c r="AL141" i="20" s="1"/>
  <c r="AM142" i="20"/>
  <c r="AM141" i="20" s="1"/>
  <c r="AN142" i="20"/>
  <c r="AN141" i="20" s="1"/>
  <c r="AO142" i="20"/>
  <c r="AO141" i="20" s="1"/>
  <c r="AN144" i="20"/>
  <c r="AN143" i="20" s="1"/>
  <c r="AO144" i="20"/>
  <c r="AO143" i="20" s="1"/>
  <c r="AN150" i="20"/>
  <c r="AO150" i="20"/>
  <c r="AN151" i="20"/>
  <c r="AO151" i="20"/>
  <c r="AN152" i="20"/>
  <c r="AO152" i="20"/>
  <c r="AN153" i="20"/>
  <c r="AO153" i="20"/>
  <c r="AN154" i="20"/>
  <c r="AO154" i="20"/>
  <c r="AN157" i="20"/>
  <c r="AN158" i="20"/>
  <c r="AM159" i="20"/>
  <c r="AN159" i="20"/>
  <c r="AL166" i="20"/>
  <c r="BG166" i="20" s="1"/>
  <c r="AM166" i="20"/>
  <c r="AN166" i="20"/>
  <c r="AO166" i="20"/>
  <c r="AL163" i="20"/>
  <c r="BG163" i="20" s="1"/>
  <c r="AM163" i="20"/>
  <c r="AN163" i="20"/>
  <c r="AO163" i="20"/>
  <c r="AL167" i="20"/>
  <c r="BG167" i="20" s="1"/>
  <c r="AM167" i="20"/>
  <c r="AN167" i="20"/>
  <c r="AO167" i="20"/>
  <c r="AL168" i="20"/>
  <c r="BG168" i="20" s="1"/>
  <c r="AM168" i="20"/>
  <c r="AN168" i="20"/>
  <c r="AO168" i="20"/>
  <c r="AL164" i="20"/>
  <c r="BG164" i="20" s="1"/>
  <c r="AM164" i="20"/>
  <c r="AN164" i="20"/>
  <c r="AO164" i="20"/>
  <c r="AL169" i="20"/>
  <c r="BG169" i="20" s="1"/>
  <c r="AM169" i="20"/>
  <c r="AN169" i="20"/>
  <c r="AO169" i="20"/>
  <c r="AL170" i="20"/>
  <c r="BG170" i="20" s="1"/>
  <c r="AM170" i="20"/>
  <c r="AN170" i="20"/>
  <c r="AO170" i="20"/>
  <c r="AO171" i="20"/>
  <c r="AN173" i="20"/>
  <c r="AO173" i="20"/>
  <c r="AL176" i="20"/>
  <c r="BG176" i="20" s="1"/>
  <c r="AM176" i="20"/>
  <c r="AN176" i="20"/>
  <c r="AO176" i="20"/>
  <c r="AL177" i="20"/>
  <c r="BG177" i="20" s="1"/>
  <c r="AM177" i="20"/>
  <c r="AN177" i="20"/>
  <c r="AO177" i="20"/>
  <c r="AN187" i="20"/>
  <c r="AN186" i="20" s="1"/>
  <c r="AO187" i="20"/>
  <c r="AO186" i="20" s="1"/>
  <c r="AN180" i="20"/>
  <c r="AO180" i="20"/>
  <c r="AN189" i="20"/>
  <c r="AO189" i="20"/>
  <c r="AN181" i="20"/>
  <c r="AO181" i="20"/>
  <c r="AN183" i="20"/>
  <c r="AO183" i="20"/>
  <c r="AN184" i="20"/>
  <c r="AO184" i="20"/>
  <c r="AN190" i="20"/>
  <c r="AO190" i="20"/>
  <c r="AN182" i="20"/>
  <c r="AO182" i="20"/>
  <c r="AN193" i="20"/>
  <c r="AO193" i="20"/>
  <c r="AN199" i="20"/>
  <c r="AO199" i="20"/>
  <c r="AN200" i="20"/>
  <c r="AO200" i="20"/>
  <c r="AN201" i="20"/>
  <c r="AO201" i="20"/>
  <c r="AN204" i="20"/>
  <c r="AO204" i="20"/>
  <c r="AN205" i="20"/>
  <c r="AO205" i="20"/>
  <c r="AN206" i="20"/>
  <c r="AO206" i="20"/>
  <c r="AN209" i="20"/>
  <c r="AO209" i="20"/>
  <c r="AN210" i="20"/>
  <c r="AO210" i="20"/>
  <c r="AN211" i="20"/>
  <c r="AO211" i="20"/>
  <c r="AN212" i="20"/>
  <c r="AO212" i="20"/>
  <c r="AN214" i="20"/>
  <c r="AO214" i="20"/>
  <c r="AN213" i="20"/>
  <c r="AO213" i="20"/>
  <c r="AL218" i="20"/>
  <c r="AL216" i="20" s="1"/>
  <c r="AM218" i="20"/>
  <c r="AM216" i="20" s="1"/>
  <c r="AN218" i="20"/>
  <c r="AN216" i="20" s="1"/>
  <c r="AO218" i="20"/>
  <c r="AO216" i="20" s="1"/>
  <c r="AM224" i="20"/>
  <c r="AM223" i="20" s="1"/>
  <c r="AN224" i="20"/>
  <c r="AN223" i="20" s="1"/>
  <c r="AO224" i="20"/>
  <c r="AO223" i="20" s="1"/>
  <c r="AN228" i="20"/>
  <c r="AO228" i="20"/>
  <c r="AN229" i="20"/>
  <c r="AO229" i="20"/>
  <c r="AN230" i="20"/>
  <c r="AO230" i="20"/>
  <c r="AN231" i="20"/>
  <c r="AO231" i="20"/>
  <c r="AN232" i="20"/>
  <c r="AO232" i="20"/>
  <c r="AN233" i="20"/>
  <c r="AO233" i="20"/>
  <c r="AL247" i="20"/>
  <c r="BG247" i="20" s="1"/>
  <c r="AM247" i="20"/>
  <c r="AN247" i="20"/>
  <c r="AO247" i="20"/>
  <c r="AL236" i="20"/>
  <c r="AL235" i="20" s="1"/>
  <c r="AM236" i="20"/>
  <c r="AM235" i="20" s="1"/>
  <c r="AN236" i="20"/>
  <c r="AN235" i="20" s="1"/>
  <c r="AO236" i="20"/>
  <c r="AO235" i="20" s="1"/>
  <c r="AL244" i="20"/>
  <c r="BG244" i="20" s="1"/>
  <c r="AM244" i="20"/>
  <c r="AN244" i="20"/>
  <c r="AO244" i="20"/>
  <c r="AL245" i="20"/>
  <c r="BG245" i="20" s="1"/>
  <c r="AM245" i="20"/>
  <c r="AN245" i="20"/>
  <c r="AO245" i="20"/>
  <c r="AL241" i="20"/>
  <c r="AM241" i="20"/>
  <c r="AN241" i="20"/>
  <c r="AO241" i="20"/>
  <c r="AL246" i="20"/>
  <c r="BG246" i="20" s="1"/>
  <c r="AM246" i="20"/>
  <c r="AN246" i="20"/>
  <c r="AO246" i="20"/>
  <c r="AL242" i="20"/>
  <c r="BG242" i="20" s="1"/>
  <c r="AM242" i="20"/>
  <c r="AN242" i="20"/>
  <c r="AO242" i="20"/>
  <c r="AL248" i="20"/>
  <c r="BG248" i="20" s="1"/>
  <c r="AM248" i="20"/>
  <c r="AN248" i="20"/>
  <c r="AO248" i="20"/>
  <c r="AM252" i="20"/>
  <c r="AM251" i="20" s="1"/>
  <c r="AN253" i="20"/>
  <c r="AN252" i="20" s="1"/>
  <c r="AN251" i="20" s="1"/>
  <c r="AO253" i="20"/>
  <c r="AO252" i="20" s="1"/>
  <c r="AO251" i="20" s="1"/>
  <c r="AM256" i="20"/>
  <c r="AN256" i="20"/>
  <c r="AO256" i="20"/>
  <c r="AN257" i="20"/>
  <c r="AO257" i="20"/>
  <c r="AN258" i="20"/>
  <c r="AO258" i="20"/>
  <c r="AN259" i="20"/>
  <c r="AO259" i="20"/>
  <c r="AN260" i="20"/>
  <c r="AO260" i="20"/>
  <c r="AN261" i="20"/>
  <c r="AO261" i="20"/>
  <c r="AM262" i="20"/>
  <c r="AN262" i="20"/>
  <c r="AO262" i="20"/>
  <c r="AM263" i="20"/>
  <c r="AN263" i="20"/>
  <c r="AO263" i="20"/>
  <c r="AL268" i="20"/>
  <c r="BG268" i="20" s="1"/>
  <c r="AM268" i="20"/>
  <c r="AN268" i="20"/>
  <c r="AO268" i="20"/>
  <c r="AL269" i="20"/>
  <c r="BG269" i="20" s="1"/>
  <c r="AM269" i="20"/>
  <c r="AN269" i="20"/>
  <c r="AO269" i="20"/>
  <c r="AL272" i="20"/>
  <c r="BG272" i="20" s="1"/>
  <c r="AM272" i="20"/>
  <c r="AN272" i="20"/>
  <c r="AO272" i="20"/>
  <c r="AL273" i="20"/>
  <c r="BG273" i="20" s="1"/>
  <c r="AM273" i="20"/>
  <c r="AN273" i="20"/>
  <c r="AO273" i="20"/>
  <c r="AL270" i="20"/>
  <c r="BG270" i="20" s="1"/>
  <c r="AM270" i="20"/>
  <c r="AN270" i="20"/>
  <c r="AO270" i="20"/>
  <c r="AL274" i="20"/>
  <c r="BG274" i="20" s="1"/>
  <c r="AM274" i="20"/>
  <c r="AN274" i="20"/>
  <c r="AO274" i="20"/>
  <c r="AO280" i="20"/>
  <c r="AO279" i="20" s="1"/>
  <c r="AN284" i="20"/>
  <c r="AN283" i="20" s="1"/>
  <c r="AN282" i="20" s="1"/>
  <c r="AO283" i="20"/>
  <c r="AO282" i="20" s="1"/>
  <c r="AN287" i="20"/>
  <c r="AO287" i="20"/>
  <c r="AN288" i="20"/>
  <c r="AO288" i="20"/>
  <c r="AN291" i="20"/>
  <c r="AO291" i="20"/>
  <c r="AM292" i="20"/>
  <c r="AN292" i="20"/>
  <c r="AO292" i="20"/>
  <c r="AN293" i="20"/>
  <c r="AO293" i="20"/>
  <c r="AL295" i="20"/>
  <c r="BG295" i="20" s="1"/>
  <c r="AM295" i="20"/>
  <c r="AN295" i="20"/>
  <c r="AO295" i="20"/>
  <c r="AM298" i="20"/>
  <c r="AN298" i="20"/>
  <c r="AO298" i="20"/>
  <c r="AM299" i="20"/>
  <c r="AN299" i="20"/>
  <c r="AO299" i="20"/>
  <c r="AL294" i="20"/>
  <c r="BG294" i="20" s="1"/>
  <c r="AM294" i="20"/>
  <c r="AN294" i="20"/>
  <c r="AO294" i="20"/>
  <c r="AL301" i="20"/>
  <c r="BG301" i="20" s="1"/>
  <c r="AM301" i="20"/>
  <c r="AN301" i="20"/>
  <c r="AO301" i="20"/>
  <c r="AL302" i="20"/>
  <c r="BG302" i="20" s="1"/>
  <c r="AM302" i="20"/>
  <c r="AN302" i="20"/>
  <c r="AO302" i="20"/>
  <c r="AN307" i="20"/>
  <c r="AO307" i="20"/>
  <c r="AN308" i="20"/>
  <c r="AO308" i="20"/>
  <c r="AN309" i="20"/>
  <c r="AO309" i="20"/>
  <c r="AM310" i="20"/>
  <c r="AN310" i="20"/>
  <c r="AO310" i="20"/>
  <c r="AM325" i="20"/>
  <c r="AM324" i="20" s="1"/>
  <c r="AM323" i="20" s="1"/>
  <c r="AN325" i="20"/>
  <c r="AN324" i="20" s="1"/>
  <c r="AN323" i="20" s="1"/>
  <c r="AO325" i="20"/>
  <c r="AO324" i="20" s="1"/>
  <c r="AO323" i="20" s="1"/>
  <c r="AM315" i="20"/>
  <c r="AN315" i="20"/>
  <c r="AO315" i="20"/>
  <c r="AN317" i="20"/>
  <c r="AO317" i="20"/>
  <c r="AN316" i="20"/>
  <c r="AO316" i="20"/>
  <c r="AM328" i="20"/>
  <c r="AN328" i="20"/>
  <c r="AO328" i="20"/>
  <c r="AN329" i="20"/>
  <c r="AO329" i="20"/>
  <c r="AN331" i="20"/>
  <c r="AO331" i="20"/>
  <c r="AN330" i="20"/>
  <c r="AO330" i="20"/>
  <c r="AM334" i="20"/>
  <c r="AN334" i="20"/>
  <c r="AO334" i="20"/>
  <c r="AM335" i="20"/>
  <c r="AN335" i="20"/>
  <c r="AO335" i="20"/>
  <c r="AM336" i="20"/>
  <c r="AN336" i="20"/>
  <c r="AO336" i="20"/>
  <c r="AM337" i="20"/>
  <c r="AN337" i="20"/>
  <c r="AO337" i="20"/>
  <c r="AL338" i="20"/>
  <c r="BG338" i="20" s="1"/>
  <c r="AM338" i="20"/>
  <c r="AN338" i="20"/>
  <c r="AO338" i="20"/>
  <c r="AL339" i="20"/>
  <c r="BG339" i="20" s="1"/>
  <c r="AM339" i="20"/>
  <c r="AN339" i="20"/>
  <c r="AO339" i="20"/>
  <c r="AL340" i="20"/>
  <c r="BG340" i="20" s="1"/>
  <c r="AM340" i="20"/>
  <c r="AN340" i="20"/>
  <c r="AO340" i="20"/>
  <c r="AN347" i="20"/>
  <c r="AO347" i="20"/>
  <c r="AL372" i="20"/>
  <c r="BG372" i="20" s="1"/>
  <c r="AM372" i="20"/>
  <c r="AN372" i="20"/>
  <c r="AO372" i="20"/>
  <c r="AL373" i="20"/>
  <c r="BG373" i="20" s="1"/>
  <c r="AM373" i="20"/>
  <c r="AN373" i="20"/>
  <c r="AO373" i="20"/>
  <c r="AL374" i="20"/>
  <c r="BG374" i="20" s="1"/>
  <c r="AM374" i="20"/>
  <c r="AN374" i="20"/>
  <c r="AO374" i="20"/>
  <c r="AL375" i="20"/>
  <c r="BG375" i="20" s="1"/>
  <c r="AM375" i="20"/>
  <c r="AN375" i="20"/>
  <c r="AO375" i="20"/>
  <c r="AL376" i="20"/>
  <c r="BG376" i="20" s="1"/>
  <c r="AM376" i="20"/>
  <c r="AN376" i="20"/>
  <c r="AO376" i="20"/>
  <c r="AL378" i="20"/>
  <c r="BG378" i="20" s="1"/>
  <c r="AM378" i="20"/>
  <c r="AN378" i="20"/>
  <c r="AO378" i="20"/>
  <c r="AL377" i="20"/>
  <c r="BG377" i="20" s="1"/>
  <c r="AM377" i="20"/>
  <c r="AN377" i="20"/>
  <c r="AO377" i="20"/>
  <c r="AL379" i="20"/>
  <c r="BG379" i="20" s="1"/>
  <c r="AM379" i="20"/>
  <c r="AN379" i="20"/>
  <c r="AO379" i="20"/>
  <c r="AL380" i="20"/>
  <c r="BG380" i="20" s="1"/>
  <c r="AM380" i="20"/>
  <c r="AN380" i="20"/>
  <c r="AO380" i="20"/>
  <c r="AL381" i="20"/>
  <c r="BG381" i="20" s="1"/>
  <c r="AM381" i="20"/>
  <c r="AN381" i="20"/>
  <c r="AO381" i="20"/>
  <c r="AL382" i="20"/>
  <c r="BG382" i="20" s="1"/>
  <c r="AM382" i="20"/>
  <c r="AN382" i="20"/>
  <c r="AO382" i="20"/>
  <c r="AL384" i="20"/>
  <c r="BG384" i="20" s="1"/>
  <c r="AM384" i="20"/>
  <c r="AN384" i="20"/>
  <c r="AO384" i="20"/>
  <c r="AL383" i="20"/>
  <c r="BG383" i="20" s="1"/>
  <c r="AM383" i="20"/>
  <c r="AN383" i="20"/>
  <c r="AO383" i="20"/>
  <c r="AL385" i="20"/>
  <c r="BG385" i="20" s="1"/>
  <c r="AM385" i="20"/>
  <c r="AN385" i="20"/>
  <c r="AO385" i="20"/>
  <c r="AL387" i="20"/>
  <c r="BG387" i="20" s="1"/>
  <c r="AM387" i="20"/>
  <c r="AN387" i="20"/>
  <c r="AO387" i="20"/>
  <c r="AL386" i="20"/>
  <c r="BG386" i="20" s="1"/>
  <c r="AM386" i="20"/>
  <c r="AN386" i="20"/>
  <c r="AO386" i="20"/>
  <c r="AL388" i="20"/>
  <c r="BG388" i="20" s="1"/>
  <c r="AM388" i="20"/>
  <c r="AN388" i="20"/>
  <c r="AO388" i="20"/>
  <c r="AL389" i="20"/>
  <c r="BG389" i="20" s="1"/>
  <c r="AM389" i="20"/>
  <c r="AN389" i="20"/>
  <c r="AO389" i="20"/>
  <c r="AL390" i="20"/>
  <c r="BG390" i="20" s="1"/>
  <c r="AM390" i="20"/>
  <c r="AN390" i="20"/>
  <c r="AO390" i="20"/>
  <c r="AN419" i="20"/>
  <c r="AO419" i="20"/>
  <c r="AN403" i="20"/>
  <c r="AO403" i="20"/>
  <c r="AM415" i="20"/>
  <c r="AN415" i="20"/>
  <c r="AO415" i="20"/>
  <c r="AN396" i="20"/>
  <c r="AO396" i="20"/>
  <c r="AN400" i="20"/>
  <c r="AO400" i="20"/>
  <c r="AM401" i="20"/>
  <c r="AN401" i="20"/>
  <c r="AO401" i="20"/>
  <c r="AN404" i="20"/>
  <c r="AO404" i="20"/>
  <c r="AN405" i="20"/>
  <c r="AO405" i="20"/>
  <c r="AN406" i="20"/>
  <c r="AO406" i="20"/>
  <c r="AN407" i="20"/>
  <c r="AO407" i="20"/>
  <c r="AN408" i="20"/>
  <c r="AO408" i="20"/>
  <c r="AN414" i="20"/>
  <c r="AO414" i="20"/>
  <c r="AN409" i="20"/>
  <c r="AO409" i="20"/>
  <c r="AN410" i="20"/>
  <c r="AO410" i="20"/>
  <c r="AN418" i="20"/>
  <c r="AO418" i="20"/>
  <c r="AL427" i="20"/>
  <c r="BG427" i="20" s="1"/>
  <c r="AM427" i="20"/>
  <c r="AN427" i="20"/>
  <c r="AN423" i="20"/>
  <c r="AM424" i="20"/>
  <c r="AN424" i="20"/>
  <c r="AN425" i="20"/>
  <c r="AM426" i="20"/>
  <c r="AN426" i="20"/>
  <c r="AN439" i="20"/>
  <c r="AN438" i="20" s="1"/>
  <c r="AO439" i="20"/>
  <c r="AO438" i="20" s="1"/>
  <c r="AN441" i="20"/>
  <c r="AO441" i="20"/>
  <c r="AN442" i="20"/>
  <c r="AO442" i="20"/>
  <c r="AN446" i="20"/>
  <c r="AN445" i="20" s="1"/>
  <c r="AN444" i="20" s="1"/>
  <c r="AN443" i="20" s="1"/>
  <c r="AO446" i="20"/>
  <c r="AO445" i="20" s="1"/>
  <c r="AO444" i="20" s="1"/>
  <c r="AO443" i="20" s="1"/>
  <c r="AM447" i="20"/>
  <c r="AN447" i="20"/>
  <c r="AO447" i="20"/>
  <c r="AM448" i="20"/>
  <c r="AN448" i="20"/>
  <c r="AO448" i="20"/>
  <c r="AL450" i="20"/>
  <c r="BG450" i="20" s="1"/>
  <c r="AM450" i="20"/>
  <c r="AN450" i="20"/>
  <c r="AO450" i="20"/>
  <c r="AO454" i="20"/>
  <c r="AO453" i="20" s="1"/>
  <c r="AN458" i="20"/>
  <c r="AN457" i="20" s="1"/>
  <c r="AN456" i="20" s="1"/>
  <c r="AN455" i="20" s="1"/>
  <c r="AO458" i="20"/>
  <c r="AO457" i="20" s="1"/>
  <c r="AO456" i="20" s="1"/>
  <c r="AO455" i="20" s="1"/>
  <c r="AM460" i="20"/>
  <c r="AM459" i="20" s="1"/>
  <c r="AN460" i="20"/>
  <c r="AN459" i="20" s="1"/>
  <c r="AO460" i="20"/>
  <c r="AO459" i="20" s="1"/>
  <c r="AM464" i="20"/>
  <c r="AN464" i="20"/>
  <c r="AN463" i="20" s="1"/>
  <c r="AO464" i="20"/>
  <c r="AO463" i="20" s="1"/>
  <c r="AL465" i="20"/>
  <c r="BG465" i="20" s="1"/>
  <c r="AM465" i="20"/>
  <c r="AN465" i="20"/>
  <c r="AO465" i="20"/>
  <c r="AL466" i="20"/>
  <c r="BG466" i="20" s="1"/>
  <c r="AM466" i="20"/>
  <c r="AN466" i="20"/>
  <c r="AO466" i="20"/>
  <c r="AL467" i="20"/>
  <c r="BG467" i="20" s="1"/>
  <c r="AM467" i="20"/>
  <c r="AN467" i="20"/>
  <c r="AO467" i="20"/>
  <c r="AL468" i="20"/>
  <c r="BG468" i="20" s="1"/>
  <c r="AM468" i="20"/>
  <c r="AN468" i="20"/>
  <c r="AO468" i="20"/>
  <c r="AL469" i="20"/>
  <c r="BG469" i="20" s="1"/>
  <c r="AM469" i="20"/>
  <c r="AN469" i="20"/>
  <c r="AO469" i="20"/>
  <c r="AL470" i="20"/>
  <c r="BG470" i="20" s="1"/>
  <c r="AM470" i="20"/>
  <c r="AN470" i="20"/>
  <c r="AO470" i="20"/>
  <c r="AL471" i="20"/>
  <c r="BG471" i="20" s="1"/>
  <c r="AM471" i="20"/>
  <c r="AN471" i="20"/>
  <c r="AO471" i="20"/>
  <c r="AL472" i="20"/>
  <c r="BG472" i="20" s="1"/>
  <c r="AM472" i="20"/>
  <c r="AN472" i="20"/>
  <c r="AO472" i="20"/>
  <c r="AL473" i="20"/>
  <c r="BG473" i="20" s="1"/>
  <c r="AM473" i="20"/>
  <c r="AN473" i="20"/>
  <c r="AO473" i="20"/>
  <c r="AL474" i="20"/>
  <c r="BG474" i="20" s="1"/>
  <c r="AM474" i="20"/>
  <c r="AN474" i="20"/>
  <c r="AO474" i="20"/>
  <c r="AL475" i="20"/>
  <c r="BG475" i="20" s="1"/>
  <c r="AM475" i="20"/>
  <c r="AN475" i="20"/>
  <c r="AO475" i="20"/>
  <c r="AL476" i="20"/>
  <c r="BG476" i="20" s="1"/>
  <c r="AM476" i="20"/>
  <c r="AN476" i="20"/>
  <c r="AO476" i="20"/>
  <c r="AL507" i="20"/>
  <c r="BG507" i="20" s="1"/>
  <c r="AM507" i="20"/>
  <c r="AN507" i="20"/>
  <c r="AO507" i="20"/>
  <c r="AL508" i="20"/>
  <c r="BG508" i="20" s="1"/>
  <c r="AM508" i="20"/>
  <c r="AN508" i="20"/>
  <c r="AO508" i="20"/>
  <c r="AL510" i="20"/>
  <c r="AM510" i="20"/>
  <c r="AN510" i="20"/>
  <c r="AO510" i="20"/>
  <c r="AL511" i="20"/>
  <c r="BG511" i="20" s="1"/>
  <c r="AM511" i="20"/>
  <c r="AN511" i="20"/>
  <c r="AO511" i="20"/>
  <c r="AL512" i="20"/>
  <c r="BG512" i="20" s="1"/>
  <c r="AM512" i="20"/>
  <c r="AN512" i="20"/>
  <c r="AO512" i="20"/>
  <c r="AL513" i="20"/>
  <c r="AM513" i="20"/>
  <c r="AN513" i="20"/>
  <c r="AO513" i="20"/>
  <c r="AL514" i="20"/>
  <c r="BG514" i="20" s="1"/>
  <c r="AM514" i="20"/>
  <c r="AN514" i="20"/>
  <c r="AO514" i="20"/>
  <c r="AL515" i="20"/>
  <c r="BG515" i="20" s="1"/>
  <c r="AM515" i="20"/>
  <c r="AN515" i="20"/>
  <c r="AO515" i="20"/>
  <c r="AL518" i="20"/>
  <c r="BG518" i="20" s="1"/>
  <c r="AM518" i="20"/>
  <c r="AN518" i="20"/>
  <c r="AO518" i="20"/>
  <c r="AI19" i="20"/>
  <c r="AI21" i="20"/>
  <c r="AI22" i="20"/>
  <c r="AI24" i="20"/>
  <c r="AI25" i="20"/>
  <c r="AI27" i="20"/>
  <c r="AI29" i="20"/>
  <c r="AI31" i="20"/>
  <c r="AI32" i="20"/>
  <c r="AI33" i="20"/>
  <c r="AI34" i="20"/>
  <c r="AI35" i="20"/>
  <c r="AI36" i="20"/>
  <c r="AI37" i="20"/>
  <c r="AI38" i="20"/>
  <c r="AI39" i="20"/>
  <c r="AI40" i="20"/>
  <c r="AI65" i="20"/>
  <c r="AI62" i="20"/>
  <c r="AI69" i="20"/>
  <c r="AI66" i="20"/>
  <c r="AI70" i="20"/>
  <c r="AI71" i="20"/>
  <c r="AI72" i="20"/>
  <c r="AI73" i="20"/>
  <c r="AI74" i="20"/>
  <c r="AI75" i="20"/>
  <c r="AI82" i="20"/>
  <c r="AI83" i="20"/>
  <c r="AI91" i="20"/>
  <c r="AI92" i="20"/>
  <c r="AI89" i="20"/>
  <c r="AI88" i="20" s="1"/>
  <c r="AI95" i="20"/>
  <c r="AI97" i="20"/>
  <c r="AI98" i="20"/>
  <c r="AI99" i="20"/>
  <c r="AM99" i="20" s="1"/>
  <c r="AL99" i="20" s="1"/>
  <c r="AI100" i="20"/>
  <c r="AI101" i="20"/>
  <c r="AI102" i="20"/>
  <c r="AI96" i="20"/>
  <c r="AL96" i="20" s="1"/>
  <c r="AI105" i="20"/>
  <c r="AI107" i="20"/>
  <c r="AI109" i="20"/>
  <c r="AI112" i="20"/>
  <c r="AI111" i="20" s="1"/>
  <c r="AI119" i="20"/>
  <c r="AI120" i="20"/>
  <c r="AM120" i="20" s="1"/>
  <c r="AL120" i="20" s="1"/>
  <c r="AI121" i="20"/>
  <c r="AI122" i="20"/>
  <c r="AI125" i="20"/>
  <c r="AI130" i="20"/>
  <c r="AI126" i="20"/>
  <c r="AI127" i="20"/>
  <c r="AI128" i="20"/>
  <c r="AI129" i="20"/>
  <c r="AI136" i="20"/>
  <c r="AI132" i="20" s="1"/>
  <c r="AI144" i="20"/>
  <c r="AI150" i="20"/>
  <c r="AI151" i="20"/>
  <c r="AI152" i="20"/>
  <c r="AI153" i="20"/>
  <c r="AM153" i="20" s="1"/>
  <c r="AI154" i="20"/>
  <c r="AI157" i="20"/>
  <c r="AI158" i="20"/>
  <c r="AI159" i="20"/>
  <c r="AI166" i="20"/>
  <c r="AI163" i="20"/>
  <c r="AI167" i="20"/>
  <c r="AI168" i="20"/>
  <c r="AI164" i="20"/>
  <c r="AI169" i="20"/>
  <c r="AI170" i="20"/>
  <c r="AI173" i="20"/>
  <c r="AI176" i="20"/>
  <c r="AI177" i="20"/>
  <c r="AI187" i="20"/>
  <c r="AI186" i="20" s="1"/>
  <c r="AI180" i="20"/>
  <c r="AI189" i="20"/>
  <c r="AI181" i="20"/>
  <c r="AM181" i="20" s="1"/>
  <c r="AL181" i="20" s="1"/>
  <c r="AI183" i="20"/>
  <c r="AI184" i="20"/>
  <c r="AI190" i="20"/>
  <c r="AI182" i="20"/>
  <c r="AI193" i="20"/>
  <c r="AI199" i="20"/>
  <c r="AM199" i="20" s="1"/>
  <c r="AI201" i="20"/>
  <c r="AI204" i="20"/>
  <c r="AI205" i="20"/>
  <c r="AI206" i="20"/>
  <c r="AI209" i="20"/>
  <c r="AI210" i="20"/>
  <c r="AI211" i="20"/>
  <c r="AI212" i="20"/>
  <c r="AI214" i="20"/>
  <c r="AI213" i="20"/>
  <c r="AI218" i="20"/>
  <c r="AI216" i="20" s="1"/>
  <c r="AI228" i="20"/>
  <c r="AI229" i="20"/>
  <c r="BK229" i="20" s="1"/>
  <c r="BJ228" i="20" s="1"/>
  <c r="AI230" i="20"/>
  <c r="AI231" i="20"/>
  <c r="AI232" i="20"/>
  <c r="AI233" i="20"/>
  <c r="AI247" i="20"/>
  <c r="AI236" i="20"/>
  <c r="AI235" i="20" s="1"/>
  <c r="AI244" i="20"/>
  <c r="AI245" i="20"/>
  <c r="AI241" i="20"/>
  <c r="AI246" i="20"/>
  <c r="AI242" i="20"/>
  <c r="AI248" i="20"/>
  <c r="AI252" i="20"/>
  <c r="AI251" i="20" s="1"/>
  <c r="AI256" i="20"/>
  <c r="AI257" i="20"/>
  <c r="AI258" i="20"/>
  <c r="AI259" i="20"/>
  <c r="AI260" i="20"/>
  <c r="AI261" i="20"/>
  <c r="AI262" i="20"/>
  <c r="AI263" i="20"/>
  <c r="AI268" i="20"/>
  <c r="AI269" i="20"/>
  <c r="AI272" i="20"/>
  <c r="AI273" i="20"/>
  <c r="AI270" i="20"/>
  <c r="AI274" i="20"/>
  <c r="AI280" i="20"/>
  <c r="AI279" i="20" s="1"/>
  <c r="AI284" i="20"/>
  <c r="AI287" i="20"/>
  <c r="AI288" i="20"/>
  <c r="AI291" i="20"/>
  <c r="AM291" i="20" s="1"/>
  <c r="AL291" i="20" s="1"/>
  <c r="AI292" i="20"/>
  <c r="AI293" i="20"/>
  <c r="AI295" i="20"/>
  <c r="AI298" i="20"/>
  <c r="AI299" i="20"/>
  <c r="AI294" i="20"/>
  <c r="AI301" i="20"/>
  <c r="AI302" i="20"/>
  <c r="AI307" i="20"/>
  <c r="AI308" i="20"/>
  <c r="AI309" i="20"/>
  <c r="AI310" i="20"/>
  <c r="AI325" i="20"/>
  <c r="AI324" i="20" s="1"/>
  <c r="AI323" i="20" s="1"/>
  <c r="AI315" i="20"/>
  <c r="AI317" i="20"/>
  <c r="AI316" i="20"/>
  <c r="AI328" i="20"/>
  <c r="AI329" i="20"/>
  <c r="AI331" i="20"/>
  <c r="AI330" i="20"/>
  <c r="AI334" i="20"/>
  <c r="AI335" i="20"/>
  <c r="AI336" i="20"/>
  <c r="AI337" i="20"/>
  <c r="AI338" i="20"/>
  <c r="AI339" i="20"/>
  <c r="AI340" i="20"/>
  <c r="AI347" i="20"/>
  <c r="AI372" i="20"/>
  <c r="AI373" i="20"/>
  <c r="AI374" i="20"/>
  <c r="AI375" i="20"/>
  <c r="AI376" i="20"/>
  <c r="AI378" i="20"/>
  <c r="AI377" i="20"/>
  <c r="AI379" i="20"/>
  <c r="AI380" i="20"/>
  <c r="AI381" i="20"/>
  <c r="AI382" i="20"/>
  <c r="AI384" i="20"/>
  <c r="AI383" i="20"/>
  <c r="AI385" i="20"/>
  <c r="AI387" i="20"/>
  <c r="AI386" i="20"/>
  <c r="AI388" i="20"/>
  <c r="AI389" i="20"/>
  <c r="AI390" i="20"/>
  <c r="AI403" i="20"/>
  <c r="AI415" i="20"/>
  <c r="AI396" i="20"/>
  <c r="AI395" i="20" s="1"/>
  <c r="AI400" i="20"/>
  <c r="AM400" i="20" s="1"/>
  <c r="AQ400" i="20" s="1"/>
  <c r="AI401" i="20"/>
  <c r="AI404" i="20"/>
  <c r="AM404" i="20" s="1"/>
  <c r="AI405" i="20"/>
  <c r="AI406" i="20"/>
  <c r="AI408" i="20"/>
  <c r="AI414" i="20"/>
  <c r="AI409" i="20"/>
  <c r="AI410" i="20"/>
  <c r="AI411" i="20"/>
  <c r="AI427" i="20"/>
  <c r="AI423" i="20"/>
  <c r="AI425" i="20"/>
  <c r="AI426" i="20"/>
  <c r="AI441" i="20"/>
  <c r="AI442" i="20"/>
  <c r="AI446" i="20"/>
  <c r="AI445" i="20" s="1"/>
  <c r="AI444" i="20" s="1"/>
  <c r="AI443" i="20" s="1"/>
  <c r="AI448" i="20"/>
  <c r="AI450" i="20"/>
  <c r="AI454" i="20"/>
  <c r="AI453" i="20" s="1"/>
  <c r="AI458" i="20"/>
  <c r="AI457" i="20" s="1"/>
  <c r="AI456" i="20" s="1"/>
  <c r="AI455" i="20" s="1"/>
  <c r="AI465" i="20"/>
  <c r="AI466" i="20"/>
  <c r="AI467" i="20"/>
  <c r="AI468" i="20"/>
  <c r="AI469" i="20"/>
  <c r="AI470" i="20"/>
  <c r="AI471" i="20"/>
  <c r="AI472" i="20"/>
  <c r="AI473" i="20"/>
  <c r="AI474" i="20"/>
  <c r="AI475" i="20"/>
  <c r="AI476" i="20"/>
  <c r="AI507" i="20"/>
  <c r="AI508" i="20"/>
  <c r="AI510" i="20"/>
  <c r="AI512" i="20"/>
  <c r="AI513" i="20"/>
  <c r="AI514" i="20"/>
  <c r="AI515" i="20"/>
  <c r="AI518" i="20"/>
  <c r="AH17" i="20"/>
  <c r="AH18" i="20"/>
  <c r="AH19" i="20"/>
  <c r="AH21" i="20"/>
  <c r="AH22" i="20"/>
  <c r="AH23" i="20"/>
  <c r="AH24" i="20"/>
  <c r="AH25" i="20"/>
  <c r="AH26" i="20"/>
  <c r="AH27" i="20"/>
  <c r="AH29" i="20"/>
  <c r="AH31" i="20"/>
  <c r="AH32" i="20"/>
  <c r="AH33" i="20"/>
  <c r="AH34" i="20"/>
  <c r="AH35" i="20"/>
  <c r="AH36" i="20"/>
  <c r="AH37" i="20"/>
  <c r="AH38" i="20"/>
  <c r="AH39" i="20"/>
  <c r="AH40" i="20"/>
  <c r="AH65" i="20"/>
  <c r="AH69" i="20"/>
  <c r="AH66" i="20"/>
  <c r="AH70" i="20"/>
  <c r="AH71" i="20"/>
  <c r="AH72" i="20"/>
  <c r="AH73" i="20"/>
  <c r="AH74" i="20"/>
  <c r="AH75" i="20"/>
  <c r="AH82" i="20"/>
  <c r="AH83" i="20"/>
  <c r="AH91" i="20"/>
  <c r="AH92" i="20"/>
  <c r="AH89" i="20"/>
  <c r="AH88" i="20" s="1"/>
  <c r="AH95" i="20"/>
  <c r="AH97" i="20"/>
  <c r="AH98" i="20"/>
  <c r="AH99" i="20"/>
  <c r="AH100" i="20"/>
  <c r="AH101" i="20"/>
  <c r="AH102" i="20"/>
  <c r="AH96" i="20"/>
  <c r="AH107" i="20"/>
  <c r="AH109" i="20"/>
  <c r="AH112" i="20"/>
  <c r="AH111" i="20" s="1"/>
  <c r="AH119" i="20"/>
  <c r="AH120" i="20"/>
  <c r="AH121" i="20"/>
  <c r="AH122" i="20"/>
  <c r="AH125" i="20"/>
  <c r="AH130" i="20"/>
  <c r="AH126" i="20"/>
  <c r="AH127" i="20"/>
  <c r="AH128" i="20"/>
  <c r="AH129" i="20"/>
  <c r="AH136" i="20"/>
  <c r="AH132" i="20" s="1"/>
  <c r="AH142" i="20"/>
  <c r="AH141" i="20" s="1"/>
  <c r="AH144" i="20"/>
  <c r="AH143" i="20" s="1"/>
  <c r="AH150" i="20"/>
  <c r="AH151" i="20"/>
  <c r="AH152" i="20"/>
  <c r="AH153" i="20"/>
  <c r="AH154" i="20"/>
  <c r="AH157" i="20"/>
  <c r="AH158" i="20"/>
  <c r="AH159" i="20"/>
  <c r="AH166" i="20"/>
  <c r="AH163" i="20"/>
  <c r="AH167" i="20"/>
  <c r="AH168" i="20"/>
  <c r="AH164" i="20"/>
  <c r="AH169" i="20"/>
  <c r="AH170" i="20"/>
  <c r="AH171" i="20"/>
  <c r="AH176" i="20"/>
  <c r="AH177" i="20"/>
  <c r="AH187" i="20"/>
  <c r="AH186" i="20" s="1"/>
  <c r="AH180" i="20"/>
  <c r="AH189" i="20"/>
  <c r="AH181" i="20"/>
  <c r="AH183" i="20"/>
  <c r="AH184" i="20"/>
  <c r="AH190" i="20"/>
  <c r="AH182" i="20"/>
  <c r="AH193" i="20"/>
  <c r="AH199" i="20"/>
  <c r="AH201" i="20"/>
  <c r="AH204" i="20"/>
  <c r="AH205" i="20"/>
  <c r="AH206" i="20"/>
  <c r="AH209" i="20"/>
  <c r="AH210" i="20"/>
  <c r="AH211" i="20"/>
  <c r="AH212" i="20"/>
  <c r="AH214" i="20"/>
  <c r="AH213" i="20"/>
  <c r="AH218" i="20"/>
  <c r="AH216" i="20" s="1"/>
  <c r="AH228" i="20"/>
  <c r="AH229" i="20"/>
  <c r="AH230" i="20"/>
  <c r="AH231" i="20"/>
  <c r="AH232" i="20"/>
  <c r="AH233" i="20"/>
  <c r="AH247" i="20"/>
  <c r="AH236" i="20"/>
  <c r="AH235" i="20" s="1"/>
  <c r="AH244" i="20"/>
  <c r="AH245" i="20"/>
  <c r="AH241" i="20"/>
  <c r="AH246" i="20"/>
  <c r="AH242" i="20"/>
  <c r="AH248" i="20"/>
  <c r="AH256" i="20"/>
  <c r="AH257" i="20"/>
  <c r="AH258" i="20"/>
  <c r="AH259" i="20"/>
  <c r="AH260" i="20"/>
  <c r="AH261" i="20"/>
  <c r="AH262" i="20"/>
  <c r="AH263" i="20"/>
  <c r="AH268" i="20"/>
  <c r="AH269" i="20"/>
  <c r="AH272" i="20"/>
  <c r="AH273" i="20"/>
  <c r="AH270" i="20"/>
  <c r="AH274" i="20"/>
  <c r="AH280" i="20"/>
  <c r="AH279" i="20" s="1"/>
  <c r="AH284" i="20"/>
  <c r="AH283" i="20" s="1"/>
  <c r="AH282" i="20" s="1"/>
  <c r="AH287" i="20"/>
  <c r="AH288" i="20"/>
  <c r="AH291" i="20"/>
  <c r="AH292" i="20"/>
  <c r="AH293" i="20"/>
  <c r="AH295" i="20"/>
  <c r="AH298" i="20"/>
  <c r="AH299" i="20"/>
  <c r="AH294" i="20"/>
  <c r="AH301" i="20"/>
  <c r="AH302" i="20"/>
  <c r="AH307" i="20"/>
  <c r="AH308" i="20"/>
  <c r="AH309" i="20"/>
  <c r="AH310" i="20"/>
  <c r="AH325" i="20"/>
  <c r="AH324" i="20" s="1"/>
  <c r="AH323" i="20" s="1"/>
  <c r="AH315" i="20"/>
  <c r="AH317" i="20"/>
  <c r="AH316" i="20"/>
  <c r="AH328" i="20"/>
  <c r="AH329" i="20"/>
  <c r="AH331" i="20"/>
  <c r="AH330" i="20"/>
  <c r="AH334" i="20"/>
  <c r="AH335" i="20"/>
  <c r="AH336" i="20"/>
  <c r="AH337" i="20"/>
  <c r="AH338" i="20"/>
  <c r="AH339" i="20"/>
  <c r="AH340" i="20"/>
  <c r="AH347" i="20"/>
  <c r="AH372" i="20"/>
  <c r="AH373" i="20"/>
  <c r="AH374" i="20"/>
  <c r="AH375" i="20"/>
  <c r="AH376" i="20"/>
  <c r="AH378" i="20"/>
  <c r="AH377" i="20"/>
  <c r="AH379" i="20"/>
  <c r="AH380" i="20"/>
  <c r="AH381" i="20"/>
  <c r="AH382" i="20"/>
  <c r="AH384" i="20"/>
  <c r="AH383" i="20"/>
  <c r="AH385" i="20"/>
  <c r="AH387" i="20"/>
  <c r="AH386" i="20"/>
  <c r="AH388" i="20"/>
  <c r="AH389" i="20"/>
  <c r="AH390" i="20"/>
  <c r="AH403" i="20"/>
  <c r="AH415" i="20"/>
  <c r="AH396" i="20"/>
  <c r="AH401" i="20"/>
  <c r="AH404" i="20"/>
  <c r="AH405" i="20"/>
  <c r="AH406" i="20"/>
  <c r="AH408" i="20"/>
  <c r="AH414" i="20"/>
  <c r="AH409" i="20"/>
  <c r="AH410" i="20"/>
  <c r="AH418" i="20"/>
  <c r="AH411" i="20"/>
  <c r="AH427" i="20"/>
  <c r="AH423" i="20"/>
  <c r="AH424" i="20"/>
  <c r="AH425" i="20"/>
  <c r="AH426" i="20"/>
  <c r="AH439" i="20"/>
  <c r="AH438" i="20" s="1"/>
  <c r="AH441" i="20"/>
  <c r="AH442" i="20"/>
  <c r="AH446" i="20"/>
  <c r="AH445" i="20" s="1"/>
  <c r="AH444" i="20" s="1"/>
  <c r="AH443" i="20" s="1"/>
  <c r="AH447" i="20"/>
  <c r="AH450" i="20"/>
  <c r="AH454" i="20"/>
  <c r="AH453" i="20" s="1"/>
  <c r="AH458" i="20"/>
  <c r="AH457" i="20" s="1"/>
  <c r="AH456" i="20" s="1"/>
  <c r="AH455" i="20" s="1"/>
  <c r="AH464" i="20"/>
  <c r="AH463" i="20" s="1"/>
  <c r="AH465" i="20"/>
  <c r="AH466" i="20"/>
  <c r="AH467" i="20"/>
  <c r="AH468" i="20"/>
  <c r="AH469" i="20"/>
  <c r="AH470" i="20"/>
  <c r="AH471" i="20"/>
  <c r="AH472" i="20"/>
  <c r="AH473" i="20"/>
  <c r="AH474" i="20"/>
  <c r="AH475" i="20"/>
  <c r="AH476" i="20"/>
  <c r="AH507" i="20"/>
  <c r="AH510" i="20"/>
  <c r="AH511" i="20"/>
  <c r="AH512" i="20"/>
  <c r="AH513" i="20"/>
  <c r="AH514" i="20"/>
  <c r="AH515" i="20"/>
  <c r="AH518" i="20"/>
  <c r="AH16" i="20"/>
  <c r="AV518" i="20"/>
  <c r="AU518" i="20"/>
  <c r="R518" i="20"/>
  <c r="Q518" i="20"/>
  <c r="AV515" i="20"/>
  <c r="AU515" i="20"/>
  <c r="R515" i="20"/>
  <c r="Q515" i="20"/>
  <c r="AV514" i="20"/>
  <c r="AU514" i="20"/>
  <c r="R514" i="20"/>
  <c r="Q514" i="20"/>
  <c r="AV513" i="20"/>
  <c r="AU513" i="20"/>
  <c r="R513" i="20"/>
  <c r="Q513" i="20"/>
  <c r="AV512" i="20"/>
  <c r="AU512" i="20"/>
  <c r="R512" i="20"/>
  <c r="Q512" i="20"/>
  <c r="AV511" i="20"/>
  <c r="AU511" i="20"/>
  <c r="R511" i="20"/>
  <c r="Q511" i="20"/>
  <c r="AV510" i="20"/>
  <c r="AU510" i="20"/>
  <c r="R510" i="20"/>
  <c r="Q510" i="20"/>
  <c r="AV509" i="20"/>
  <c r="AU509" i="20"/>
  <c r="R509" i="20"/>
  <c r="Q509" i="20"/>
  <c r="AU508" i="20"/>
  <c r="AB508" i="20"/>
  <c r="AH508" i="20" s="1"/>
  <c r="AV476" i="20"/>
  <c r="AV475" i="20"/>
  <c r="R475" i="20"/>
  <c r="Q475" i="20"/>
  <c r="AV474" i="20"/>
  <c r="R474" i="20"/>
  <c r="Q474" i="20"/>
  <c r="AV473" i="20"/>
  <c r="R473" i="20"/>
  <c r="Q473" i="20"/>
  <c r="AV472" i="20"/>
  <c r="R472" i="20"/>
  <c r="Q472" i="20"/>
  <c r="AV471" i="20"/>
  <c r="R471" i="20"/>
  <c r="Q471" i="20"/>
  <c r="AV470" i="20"/>
  <c r="R470" i="20"/>
  <c r="Q470" i="20"/>
  <c r="AV469" i="20"/>
  <c r="R469" i="20"/>
  <c r="Q469" i="20"/>
  <c r="AV468" i="20"/>
  <c r="R468" i="20"/>
  <c r="Q468" i="20"/>
  <c r="AV467" i="20"/>
  <c r="R467" i="20"/>
  <c r="Q467" i="20"/>
  <c r="AV466" i="20"/>
  <c r="R466" i="20"/>
  <c r="Q466" i="20"/>
  <c r="AV465" i="20"/>
  <c r="AV464" i="20"/>
  <c r="AP464" i="20"/>
  <c r="AP463" i="20" s="1"/>
  <c r="AC464" i="20"/>
  <c r="AC463" i="20" s="1"/>
  <c r="R464" i="20"/>
  <c r="R463" i="20" s="1"/>
  <c r="Q464" i="20"/>
  <c r="Q463" i="20" s="1"/>
  <c r="AV463" i="20"/>
  <c r="AV460" i="20"/>
  <c r="AP460" i="20"/>
  <c r="R460" i="20"/>
  <c r="Q460" i="20"/>
  <c r="Q459" i="20" s="1"/>
  <c r="AV459" i="20"/>
  <c r="AX458" i="20"/>
  <c r="AW458" i="20"/>
  <c r="AV458" i="20"/>
  <c r="BF458" i="20"/>
  <c r="R458" i="20"/>
  <c r="R457" i="20" s="1"/>
  <c r="R456" i="20" s="1"/>
  <c r="R455" i="20" s="1"/>
  <c r="Q458" i="20"/>
  <c r="Q457" i="20" s="1"/>
  <c r="Q456" i="20" s="1"/>
  <c r="Q455" i="20" s="1"/>
  <c r="AX454" i="20"/>
  <c r="AW454" i="20"/>
  <c r="AV454" i="20"/>
  <c r="BF454" i="20"/>
  <c r="R454" i="20"/>
  <c r="R453" i="20" s="1"/>
  <c r="Q454" i="20"/>
  <c r="Q453" i="20" s="1"/>
  <c r="AX450" i="20"/>
  <c r="AW450" i="20"/>
  <c r="AV450" i="20"/>
  <c r="R450" i="20"/>
  <c r="Q450" i="20"/>
  <c r="AW448" i="20"/>
  <c r="AV448" i="20"/>
  <c r="AP448" i="20"/>
  <c r="AU448" i="20" s="1"/>
  <c r="R448" i="20"/>
  <c r="Q448" i="20"/>
  <c r="AV447" i="20"/>
  <c r="AP447" i="20"/>
  <c r="AU447" i="20" s="1"/>
  <c r="AF447" i="20"/>
  <c r="AF436" i="20" s="1"/>
  <c r="AI447" i="20"/>
  <c r="R447" i="20"/>
  <c r="Q447" i="20"/>
  <c r="AV446" i="20"/>
  <c r="AQ445" i="20"/>
  <c r="AQ444" i="20" s="1"/>
  <c r="AQ443" i="20" s="1"/>
  <c r="R446" i="20"/>
  <c r="R445" i="20" s="1"/>
  <c r="R444" i="20" s="1"/>
  <c r="R443" i="20" s="1"/>
  <c r="Q446" i="20"/>
  <c r="Q445" i="20" s="1"/>
  <c r="Q444" i="20" s="1"/>
  <c r="Q443" i="20" s="1"/>
  <c r="L435" i="20"/>
  <c r="AV442" i="20"/>
  <c r="AQ442" i="20"/>
  <c r="AQ440" i="20" s="1"/>
  <c r="AQ437" i="20" s="1"/>
  <c r="R442" i="20"/>
  <c r="Q442" i="20"/>
  <c r="AV441" i="20"/>
  <c r="R441" i="20"/>
  <c r="Q441" i="20"/>
  <c r="AV440" i="20"/>
  <c r="AV439" i="20"/>
  <c r="R439" i="20"/>
  <c r="R438" i="20" s="1"/>
  <c r="Q439" i="20"/>
  <c r="Q438" i="20" s="1"/>
  <c r="AV438" i="20"/>
  <c r="J438" i="20"/>
  <c r="AV437" i="20"/>
  <c r="AV426" i="20"/>
  <c r="AU426" i="20"/>
  <c r="R426" i="20"/>
  <c r="Q426" i="20"/>
  <c r="BA425" i="20"/>
  <c r="AV425" i="20"/>
  <c r="AU425" i="20"/>
  <c r="R425" i="20"/>
  <c r="Q425" i="20"/>
  <c r="BA424" i="20"/>
  <c r="AX424" i="20"/>
  <c r="AW424" i="20"/>
  <c r="AV424" i="20"/>
  <c r="AU424" i="20"/>
  <c r="R424" i="20"/>
  <c r="Q424" i="20"/>
  <c r="BA423" i="20"/>
  <c r="AX423" i="20"/>
  <c r="AW423" i="20"/>
  <c r="AV423" i="20"/>
  <c r="R423" i="20"/>
  <c r="Q423" i="20"/>
  <c r="BA427" i="20"/>
  <c r="AV427" i="20"/>
  <c r="R427" i="20"/>
  <c r="Q427" i="20"/>
  <c r="AV421" i="20"/>
  <c r="AZ411" i="20"/>
  <c r="BA411" i="20" s="1"/>
  <c r="AX411" i="20"/>
  <c r="AW411" i="20"/>
  <c r="AV411" i="20"/>
  <c r="R411" i="20"/>
  <c r="Q411" i="20"/>
  <c r="AV418" i="20"/>
  <c r="AC418" i="20"/>
  <c r="R418" i="20"/>
  <c r="Q418" i="20"/>
  <c r="L418" i="20"/>
  <c r="L417" i="20" s="1"/>
  <c r="AZ410" i="20"/>
  <c r="BA410" i="20" s="1"/>
  <c r="AV410" i="20"/>
  <c r="AM410" i="20"/>
  <c r="R410" i="20"/>
  <c r="Q410" i="20"/>
  <c r="AZ409" i="20"/>
  <c r="BA409" i="20" s="1"/>
  <c r="AV409" i="20"/>
  <c r="R409" i="20"/>
  <c r="Q409" i="20"/>
  <c r="AZ414" i="20"/>
  <c r="BA414" i="20" s="1"/>
  <c r="AV414" i="20"/>
  <c r="R414" i="20"/>
  <c r="Q414" i="20"/>
  <c r="AZ408" i="20"/>
  <c r="AV408" i="20"/>
  <c r="R408" i="20"/>
  <c r="Q408" i="20"/>
  <c r="BA407" i="20"/>
  <c r="AV407" i="20"/>
  <c r="AB407" i="20"/>
  <c r="AB402" i="20" s="1"/>
  <c r="R407" i="20"/>
  <c r="Q407" i="20"/>
  <c r="AZ406" i="20"/>
  <c r="AV406" i="20"/>
  <c r="R406" i="20"/>
  <c r="Q406" i="20"/>
  <c r="AX405" i="20"/>
  <c r="AY405" i="20" s="1"/>
  <c r="AW405" i="20"/>
  <c r="AV405" i="20"/>
  <c r="BF405" i="20"/>
  <c r="R405" i="20"/>
  <c r="Q405" i="20"/>
  <c r="AV404" i="20"/>
  <c r="R404" i="20"/>
  <c r="Q404" i="20"/>
  <c r="AV401" i="20"/>
  <c r="AU401" i="20"/>
  <c r="R401" i="20"/>
  <c r="Q401" i="20"/>
  <c r="AV400" i="20"/>
  <c r="AB399" i="20"/>
  <c r="R400" i="20"/>
  <c r="Q400" i="20"/>
  <c r="AV396" i="20"/>
  <c r="R396" i="20"/>
  <c r="Q396" i="20"/>
  <c r="AV415" i="20"/>
  <c r="AU415" i="20"/>
  <c r="R415" i="20"/>
  <c r="Q415" i="20"/>
  <c r="AV403" i="20"/>
  <c r="T402" i="20"/>
  <c r="R403" i="20"/>
  <c r="Q403" i="20"/>
  <c r="AV419" i="20"/>
  <c r="AC419" i="20"/>
  <c r="T419" i="20"/>
  <c r="R419" i="20"/>
  <c r="Q419" i="20"/>
  <c r="AV392" i="20"/>
  <c r="AV391" i="20"/>
  <c r="AV390" i="20"/>
  <c r="R390" i="20"/>
  <c r="Q390" i="20"/>
  <c r="AV389" i="20"/>
  <c r="R389" i="20"/>
  <c r="Q389" i="20"/>
  <c r="AV388" i="20"/>
  <c r="R388" i="20"/>
  <c r="Q388" i="20"/>
  <c r="AX386" i="20"/>
  <c r="AY386" i="20" s="1"/>
  <c r="AV386" i="20"/>
  <c r="R386" i="20"/>
  <c r="Q386" i="20"/>
  <c r="AV387" i="20"/>
  <c r="R387" i="20"/>
  <c r="Q387" i="20"/>
  <c r="AV385" i="20"/>
  <c r="R385" i="20"/>
  <c r="Q385" i="20"/>
  <c r="AX383" i="20"/>
  <c r="AY383" i="20" s="1"/>
  <c r="AV383" i="20"/>
  <c r="R383" i="20"/>
  <c r="Q383" i="20"/>
  <c r="AV384" i="20"/>
  <c r="R384" i="20"/>
  <c r="Q384" i="20"/>
  <c r="AV382" i="20"/>
  <c r="R382" i="20"/>
  <c r="Q382" i="20"/>
  <c r="AV381" i="20"/>
  <c r="R381" i="20"/>
  <c r="Q381" i="20"/>
  <c r="AV380" i="20"/>
  <c r="R380" i="20"/>
  <c r="Q380" i="20"/>
  <c r="AV379" i="20"/>
  <c r="R379" i="20"/>
  <c r="Q379" i="20"/>
  <c r="AX377" i="20"/>
  <c r="AY377" i="20" s="1"/>
  <c r="AV377" i="20"/>
  <c r="R377" i="20"/>
  <c r="Q377" i="20"/>
  <c r="AV378" i="20"/>
  <c r="R378" i="20"/>
  <c r="Q378" i="20"/>
  <c r="AV376" i="20"/>
  <c r="R376" i="20"/>
  <c r="Q376" i="20"/>
  <c r="AV375" i="20"/>
  <c r="R375" i="20"/>
  <c r="Q375" i="20"/>
  <c r="AV374" i="20"/>
  <c r="R374" i="20"/>
  <c r="Q374" i="20"/>
  <c r="AV373" i="20"/>
  <c r="R373" i="20"/>
  <c r="Q373" i="20"/>
  <c r="AV372" i="20"/>
  <c r="R372" i="20"/>
  <c r="Q372" i="20"/>
  <c r="AV348" i="20"/>
  <c r="AV347" i="20"/>
  <c r="R347" i="20"/>
  <c r="R346" i="20" s="1"/>
  <c r="R345" i="20" s="1"/>
  <c r="R342" i="20" s="1"/>
  <c r="Q347" i="20"/>
  <c r="Q346" i="20" s="1"/>
  <c r="Q345" i="20" s="1"/>
  <c r="Q342" i="20" s="1"/>
  <c r="AS346" i="20"/>
  <c r="AR346" i="20"/>
  <c r="AG346" i="20"/>
  <c r="AG345" i="20" s="1"/>
  <c r="AG342" i="20" s="1"/>
  <c r="AF346" i="20"/>
  <c r="AF345" i="20" s="1"/>
  <c r="AF342" i="20" s="1"/>
  <c r="AC346" i="20"/>
  <c r="AC345" i="20" s="1"/>
  <c r="AC342" i="20" s="1"/>
  <c r="AB346" i="20"/>
  <c r="AB345" i="20" s="1"/>
  <c r="AB342" i="20" s="1"/>
  <c r="AA346" i="20"/>
  <c r="AA345" i="20" s="1"/>
  <c r="AA342" i="20" s="1"/>
  <c r="Z346" i="20"/>
  <c r="Z345" i="20" s="1"/>
  <c r="Z342" i="20" s="1"/>
  <c r="Y346" i="20"/>
  <c r="X346" i="20"/>
  <c r="X345" i="20" s="1"/>
  <c r="X342" i="20" s="1"/>
  <c r="V346" i="20"/>
  <c r="V345" i="20" s="1"/>
  <c r="V342" i="20" s="1"/>
  <c r="U346" i="20"/>
  <c r="U345" i="20" s="1"/>
  <c r="U342" i="20" s="1"/>
  <c r="T346" i="20"/>
  <c r="T345" i="20" s="1"/>
  <c r="T342" i="20" s="1"/>
  <c r="S346" i="20"/>
  <c r="S345" i="20" s="1"/>
  <c r="S342" i="20" s="1"/>
  <c r="P346" i="20"/>
  <c r="P345" i="20" s="1"/>
  <c r="P342" i="20" s="1"/>
  <c r="O346" i="20"/>
  <c r="O345" i="20" s="1"/>
  <c r="O342" i="20" s="1"/>
  <c r="N346" i="20"/>
  <c r="N345" i="20" s="1"/>
  <c r="N342" i="20" s="1"/>
  <c r="M346" i="20"/>
  <c r="M345" i="20" s="1"/>
  <c r="M342" i="20" s="1"/>
  <c r="L346" i="20"/>
  <c r="L345" i="20" s="1"/>
  <c r="L342" i="20" s="1"/>
  <c r="K346" i="20"/>
  <c r="K345" i="20" s="1"/>
  <c r="K342" i="20" s="1"/>
  <c r="I35" i="20"/>
  <c r="R341" i="20"/>
  <c r="Q341" i="20"/>
  <c r="AV340" i="20"/>
  <c r="R340" i="20"/>
  <c r="Q340" i="20"/>
  <c r="AV339" i="20"/>
  <c r="R339" i="20"/>
  <c r="Q339" i="20"/>
  <c r="AV338" i="20"/>
  <c r="R338" i="20"/>
  <c r="Q338" i="20"/>
  <c r="AV337" i="20"/>
  <c r="AU337" i="20"/>
  <c r="R337" i="20"/>
  <c r="Q337" i="20"/>
  <c r="AV336" i="20"/>
  <c r="AU336" i="20"/>
  <c r="R336" i="20"/>
  <c r="Q336" i="20"/>
  <c r="AV335" i="20"/>
  <c r="AU335" i="20"/>
  <c r="R335" i="20"/>
  <c r="Q335" i="20"/>
  <c r="AV334" i="20"/>
  <c r="R334" i="20"/>
  <c r="Q334" i="20"/>
  <c r="AC326" i="20"/>
  <c r="AV330" i="20"/>
  <c r="R330" i="20"/>
  <c r="Q330" i="20"/>
  <c r="AX331" i="20"/>
  <c r="AW331" i="20"/>
  <c r="AV331" i="20"/>
  <c r="R331" i="20"/>
  <c r="Q331" i="20"/>
  <c r="AV329" i="20"/>
  <c r="R329" i="20"/>
  <c r="Q329" i="20"/>
  <c r="AV328" i="20"/>
  <c r="AP328" i="20"/>
  <c r="AU328" i="20" s="1"/>
  <c r="R328" i="20"/>
  <c r="Q328" i="20"/>
  <c r="AV316" i="20"/>
  <c r="AQ316" i="20"/>
  <c r="Q316" i="20"/>
  <c r="AV317" i="20"/>
  <c r="R317" i="20"/>
  <c r="Q317" i="20"/>
  <c r="AV315" i="20"/>
  <c r="AP315" i="20"/>
  <c r="R315" i="20"/>
  <c r="R314" i="20" s="1"/>
  <c r="Q315" i="20"/>
  <c r="AV325" i="20"/>
  <c r="AP325" i="20"/>
  <c r="R325" i="20"/>
  <c r="R324" i="20" s="1"/>
  <c r="R323" i="20" s="1"/>
  <c r="Q325" i="20"/>
  <c r="Q324" i="20" s="1"/>
  <c r="Q323" i="20" s="1"/>
  <c r="AV311" i="20"/>
  <c r="AV310" i="20"/>
  <c r="AU310" i="20"/>
  <c r="R310" i="20"/>
  <c r="Q310" i="20"/>
  <c r="AV309" i="20"/>
  <c r="R309" i="20"/>
  <c r="Q309" i="20"/>
  <c r="AV308" i="20"/>
  <c r="R308" i="20"/>
  <c r="Q308" i="20"/>
  <c r="AV307" i="20"/>
  <c r="R307" i="20"/>
  <c r="Q307" i="20"/>
  <c r="AX302" i="20"/>
  <c r="AY302" i="20" s="1"/>
  <c r="AV302" i="20"/>
  <c r="R302" i="20"/>
  <c r="Q302" i="20"/>
  <c r="AX301" i="20"/>
  <c r="AY301" i="20" s="1"/>
  <c r="AV301" i="20"/>
  <c r="R301" i="20"/>
  <c r="Q301" i="20"/>
  <c r="AV294" i="20"/>
  <c r="R294" i="20"/>
  <c r="Q294" i="20"/>
  <c r="AX299" i="20"/>
  <c r="AY299" i="20" s="1"/>
  <c r="AV299" i="20"/>
  <c r="R299" i="20"/>
  <c r="Q299" i="20"/>
  <c r="AX298" i="20"/>
  <c r="AY298" i="20" s="1"/>
  <c r="AV298" i="20"/>
  <c r="R298" i="20"/>
  <c r="Q298" i="20"/>
  <c r="AV295" i="20"/>
  <c r="R295" i="20"/>
  <c r="Q295" i="20"/>
  <c r="AB297" i="20"/>
  <c r="AB296" i="20" s="1"/>
  <c r="AB277" i="20" s="1"/>
  <c r="AX293" i="20"/>
  <c r="AV293" i="20"/>
  <c r="AL293" i="20"/>
  <c r="BG293" i="20" s="1"/>
  <c r="R293" i="20"/>
  <c r="Q293" i="20"/>
  <c r="AX292" i="20"/>
  <c r="AY292" i="20" s="1"/>
  <c r="AW292" i="20"/>
  <c r="AV292" i="20"/>
  <c r="AU292" i="20"/>
  <c r="R292" i="20"/>
  <c r="Q292" i="20"/>
  <c r="AV291" i="20"/>
  <c r="R291" i="20"/>
  <c r="Q291" i="20"/>
  <c r="AS277" i="20"/>
  <c r="AV288" i="20"/>
  <c r="R288" i="20"/>
  <c r="Q288" i="20"/>
  <c r="AV287" i="20"/>
  <c r="R287" i="20"/>
  <c r="Q287" i="20"/>
  <c r="AV284" i="20"/>
  <c r="R284" i="20"/>
  <c r="R283" i="20" s="1"/>
  <c r="R282" i="20" s="1"/>
  <c r="Q284" i="20"/>
  <c r="Q283" i="20" s="1"/>
  <c r="Q282" i="20" s="1"/>
  <c r="AV280" i="20"/>
  <c r="R280" i="20"/>
  <c r="R279" i="20" s="1"/>
  <c r="Q280" i="20"/>
  <c r="Q279" i="20" s="1"/>
  <c r="AV276" i="20"/>
  <c r="AV275" i="20"/>
  <c r="AV274" i="20"/>
  <c r="R274" i="20"/>
  <c r="Q274" i="20"/>
  <c r="AX270" i="20"/>
  <c r="AV270" i="20"/>
  <c r="R270" i="20"/>
  <c r="Q270" i="20"/>
  <c r="AV273" i="20"/>
  <c r="R273" i="20"/>
  <c r="Q273" i="20"/>
  <c r="AV272" i="20"/>
  <c r="R272" i="20"/>
  <c r="Q272" i="20"/>
  <c r="AV269" i="20"/>
  <c r="R269" i="20"/>
  <c r="Q269" i="20"/>
  <c r="AV268" i="20"/>
  <c r="R268" i="20"/>
  <c r="Q268" i="20"/>
  <c r="AV263" i="20"/>
  <c r="AU263" i="20"/>
  <c r="R263" i="20"/>
  <c r="Q263" i="20"/>
  <c r="AV262" i="20"/>
  <c r="AU262" i="20"/>
  <c r="R262" i="20"/>
  <c r="Q262" i="20"/>
  <c r="AV261" i="20"/>
  <c r="AU261" i="20"/>
  <c r="R261" i="20"/>
  <c r="Q261" i="20"/>
  <c r="AV260" i="20"/>
  <c r="AU260" i="20"/>
  <c r="R260" i="20"/>
  <c r="Q260" i="20"/>
  <c r="AV259" i="20"/>
  <c r="AU259" i="20"/>
  <c r="R259" i="20"/>
  <c r="Q259" i="20"/>
  <c r="AV258" i="20"/>
  <c r="AU258" i="20"/>
  <c r="R258" i="20"/>
  <c r="Q258" i="20"/>
  <c r="AV257" i="20"/>
  <c r="AU257" i="20"/>
  <c r="R257" i="20"/>
  <c r="Q257" i="20"/>
  <c r="AV256" i="20"/>
  <c r="AU256" i="20"/>
  <c r="R256" i="20"/>
  <c r="Q256" i="20"/>
  <c r="O256" i="20"/>
  <c r="L256" i="20"/>
  <c r="AX253" i="20"/>
  <c r="AY253" i="20" s="1"/>
  <c r="AV253" i="20"/>
  <c r="AP253" i="20"/>
  <c r="AB253" i="20"/>
  <c r="R253" i="20"/>
  <c r="R252" i="20" s="1"/>
  <c r="R251" i="20" s="1"/>
  <c r="Q253" i="20"/>
  <c r="Q252" i="20" s="1"/>
  <c r="Q251" i="20" s="1"/>
  <c r="AV249" i="20"/>
  <c r="AG249" i="20"/>
  <c r="AV248" i="20"/>
  <c r="AV242" i="20"/>
  <c r="R242" i="20"/>
  <c r="Q242" i="20"/>
  <c r="AV246" i="20"/>
  <c r="R246" i="20"/>
  <c r="Q246" i="20"/>
  <c r="AV241" i="20"/>
  <c r="T241" i="20"/>
  <c r="T238" i="20" s="1"/>
  <c r="R241" i="20"/>
  <c r="Q241" i="20"/>
  <c r="AV245" i="20"/>
  <c r="R245" i="20"/>
  <c r="Q245" i="20"/>
  <c r="AV244" i="20"/>
  <c r="R244" i="20"/>
  <c r="Q244" i="20"/>
  <c r="AX236" i="20"/>
  <c r="AY236" i="20" s="1"/>
  <c r="AW236" i="20"/>
  <c r="AV236" i="20"/>
  <c r="R236" i="20"/>
  <c r="R235" i="20" s="1"/>
  <c r="Q236" i="20"/>
  <c r="Q235" i="20" s="1"/>
  <c r="AV247" i="20"/>
  <c r="R247" i="20"/>
  <c r="Q247" i="20"/>
  <c r="AX233" i="20"/>
  <c r="AY233" i="20" s="1"/>
  <c r="AW233" i="20"/>
  <c r="AV233" i="20"/>
  <c r="R233" i="20"/>
  <c r="Q233" i="20"/>
  <c r="AX232" i="20"/>
  <c r="AY232" i="20" s="1"/>
  <c r="AW232" i="20"/>
  <c r="AV232" i="20"/>
  <c r="R232" i="20"/>
  <c r="Q232" i="20"/>
  <c r="AX231" i="20"/>
  <c r="AY231" i="20" s="1"/>
  <c r="AW231" i="20"/>
  <c r="AV231" i="20"/>
  <c r="R231" i="20"/>
  <c r="Q231" i="20"/>
  <c r="AV230" i="20"/>
  <c r="AU230" i="20"/>
  <c r="R230" i="20"/>
  <c r="Q230" i="20"/>
  <c r="AV229" i="20"/>
  <c r="R229" i="20"/>
  <c r="Q229" i="20"/>
  <c r="AV228" i="20"/>
  <c r="R228" i="20"/>
  <c r="Q228" i="20"/>
  <c r="AV224" i="20"/>
  <c r="AU224" i="20"/>
  <c r="X224" i="20"/>
  <c r="X223" i="20" s="1"/>
  <c r="M222" i="20"/>
  <c r="M221" i="20" s="1"/>
  <c r="AV220" i="20"/>
  <c r="AX218" i="20"/>
  <c r="AY218" i="20" s="1"/>
  <c r="AV218" i="20"/>
  <c r="R218" i="20"/>
  <c r="Q218" i="20"/>
  <c r="AX213" i="20"/>
  <c r="AY213" i="20" s="1"/>
  <c r="AW213" i="20"/>
  <c r="AV213" i="20"/>
  <c r="R213" i="20"/>
  <c r="Q213" i="20"/>
  <c r="AV214" i="20"/>
  <c r="AU214" i="20"/>
  <c r="R214" i="20"/>
  <c r="Q214" i="20"/>
  <c r="AV212" i="20"/>
  <c r="AU212" i="20"/>
  <c r="R212" i="20"/>
  <c r="Q212" i="20"/>
  <c r="AV211" i="20"/>
  <c r="AU211" i="20"/>
  <c r="R211" i="20"/>
  <c r="Q211" i="20"/>
  <c r="L211" i="20"/>
  <c r="L208" i="20" s="1"/>
  <c r="AV210" i="20"/>
  <c r="R210" i="20"/>
  <c r="Q210" i="20"/>
  <c r="AV209" i="20"/>
  <c r="AQ207" i="20"/>
  <c r="R209" i="20"/>
  <c r="Q209" i="20"/>
  <c r="AX206" i="20"/>
  <c r="AY206" i="20" s="1"/>
  <c r="AW206" i="20"/>
  <c r="AV206" i="20"/>
  <c r="R206" i="20"/>
  <c r="Q206" i="20"/>
  <c r="AX205" i="20"/>
  <c r="AY205" i="20" s="1"/>
  <c r="AW205" i="20"/>
  <c r="AV205" i="20"/>
  <c r="R205" i="20"/>
  <c r="Q205" i="20"/>
  <c r="AV204" i="20"/>
  <c r="R204" i="20"/>
  <c r="Q204" i="20"/>
  <c r="AV201" i="20"/>
  <c r="R201" i="20"/>
  <c r="Q201" i="20"/>
  <c r="AV200" i="20"/>
  <c r="R200" i="20"/>
  <c r="Q200" i="20"/>
  <c r="AV199" i="20"/>
  <c r="R199" i="20"/>
  <c r="Q199" i="20"/>
  <c r="AV195" i="20"/>
  <c r="AV193" i="20"/>
  <c r="R193" i="20"/>
  <c r="Q193" i="20"/>
  <c r="AV182" i="20"/>
  <c r="R182" i="20"/>
  <c r="Q182" i="20"/>
  <c r="AV190" i="20"/>
  <c r="R190" i="20"/>
  <c r="Q190" i="20"/>
  <c r="AX184" i="20"/>
  <c r="AY184" i="20" s="1"/>
  <c r="AW184" i="20"/>
  <c r="AV184" i="20"/>
  <c r="R184" i="20"/>
  <c r="Q184" i="20"/>
  <c r="AX183" i="20"/>
  <c r="AY183" i="20" s="1"/>
  <c r="AW183" i="20"/>
  <c r="AV183" i="20"/>
  <c r="R183" i="20"/>
  <c r="Q183" i="20"/>
  <c r="AV181" i="20"/>
  <c r="R181" i="20"/>
  <c r="Q181" i="20"/>
  <c r="AV189" i="20"/>
  <c r="R189" i="20"/>
  <c r="Q189" i="20"/>
  <c r="Q188" i="20" s="1"/>
  <c r="AV180" i="20"/>
  <c r="R180" i="20"/>
  <c r="Q180" i="20"/>
  <c r="AV187" i="20"/>
  <c r="R187" i="20"/>
  <c r="R186" i="20" s="1"/>
  <c r="Q187" i="20"/>
  <c r="Q186" i="20" s="1"/>
  <c r="AX177" i="20"/>
  <c r="AY177" i="20" s="1"/>
  <c r="AV177" i="20"/>
  <c r="R177" i="20"/>
  <c r="Q177" i="20"/>
  <c r="AV176" i="20"/>
  <c r="R176" i="20"/>
  <c r="Q176" i="20"/>
  <c r="R173" i="20"/>
  <c r="Q173" i="20"/>
  <c r="AV171" i="20"/>
  <c r="AV170" i="20"/>
  <c r="AV169" i="20"/>
  <c r="R169" i="20"/>
  <c r="Q169" i="20"/>
  <c r="AV164" i="20"/>
  <c r="T164" i="20"/>
  <c r="T161" i="20" s="1"/>
  <c r="T160" i="20" s="1"/>
  <c r="R164" i="20"/>
  <c r="Q164" i="20"/>
  <c r="AV168" i="20"/>
  <c r="T168" i="20"/>
  <c r="R168" i="20"/>
  <c r="Q168" i="20"/>
  <c r="AV167" i="20"/>
  <c r="T167" i="20"/>
  <c r="R167" i="20"/>
  <c r="Q167" i="20"/>
  <c r="AX163" i="20"/>
  <c r="AV163" i="20"/>
  <c r="R163" i="20"/>
  <c r="Q163" i="20"/>
  <c r="AX166" i="20"/>
  <c r="AW166" i="20"/>
  <c r="AV166" i="20"/>
  <c r="R166" i="20"/>
  <c r="Q166" i="20"/>
  <c r="AV159" i="20"/>
  <c r="AU159" i="20"/>
  <c r="R159" i="20"/>
  <c r="Q159" i="20"/>
  <c r="AX158" i="20"/>
  <c r="AY158" i="20" s="1"/>
  <c r="AV158" i="20"/>
  <c r="R158" i="20"/>
  <c r="Q158" i="20"/>
  <c r="AV157" i="20"/>
  <c r="AQ155" i="20"/>
  <c r="AE157" i="20"/>
  <c r="AE156" i="20" s="1"/>
  <c r="R157" i="20"/>
  <c r="Q157" i="20"/>
  <c r="AV154" i="20"/>
  <c r="R154" i="20"/>
  <c r="Q154" i="20"/>
  <c r="P154" i="20"/>
  <c r="AV153" i="20"/>
  <c r="R153" i="20"/>
  <c r="Q153" i="20"/>
  <c r="AV152" i="20"/>
  <c r="R152" i="20"/>
  <c r="Q152" i="20"/>
  <c r="AX151" i="20"/>
  <c r="AY151" i="20" s="1"/>
  <c r="AW151" i="20"/>
  <c r="AV151" i="20"/>
  <c r="AP151" i="20"/>
  <c r="AU151" i="20" s="1"/>
  <c r="R151" i="20"/>
  <c r="Q151" i="20"/>
  <c r="AV150" i="20"/>
  <c r="R150" i="20"/>
  <c r="Q150" i="20"/>
  <c r="AV144" i="20"/>
  <c r="R144" i="20"/>
  <c r="R143" i="20" s="1"/>
  <c r="Q144" i="20"/>
  <c r="Q143" i="20" s="1"/>
  <c r="H147" i="20"/>
  <c r="AV142" i="20"/>
  <c r="AC142" i="20"/>
  <c r="R142" i="20"/>
  <c r="R141" i="20" s="1"/>
  <c r="Q142" i="20"/>
  <c r="Q141" i="20" s="1"/>
  <c r="AV138" i="20"/>
  <c r="AV136" i="20"/>
  <c r="R136" i="20"/>
  <c r="R132" i="20" s="1"/>
  <c r="Q136" i="20"/>
  <c r="Q132" i="20" s="1"/>
  <c r="AV129" i="20"/>
  <c r="R129" i="20"/>
  <c r="Q129" i="20"/>
  <c r="AV128" i="20"/>
  <c r="AU128" i="20"/>
  <c r="R128" i="20"/>
  <c r="Q128" i="20"/>
  <c r="AV127" i="20"/>
  <c r="R127" i="20"/>
  <c r="Q127" i="20"/>
  <c r="AV126" i="20"/>
  <c r="R126" i="20"/>
  <c r="Q126" i="20"/>
  <c r="AV130" i="20"/>
  <c r="R130" i="20"/>
  <c r="Q130" i="20"/>
  <c r="AX125" i="20"/>
  <c r="AY125" i="20" s="1"/>
  <c r="AW125" i="20"/>
  <c r="AV125" i="20"/>
  <c r="R125" i="20"/>
  <c r="Q125" i="20"/>
  <c r="AV123" i="20"/>
  <c r="AX122" i="20"/>
  <c r="AW122" i="20"/>
  <c r="AV122" i="20"/>
  <c r="AM122" i="20"/>
  <c r="R122" i="20"/>
  <c r="Q122" i="20"/>
  <c r="AV121" i="20"/>
  <c r="R121" i="20"/>
  <c r="Q121" i="20"/>
  <c r="AX120" i="20"/>
  <c r="AY120" i="20" s="1"/>
  <c r="AW120" i="20"/>
  <c r="AV120" i="20"/>
  <c r="R120" i="20"/>
  <c r="Q120" i="20"/>
  <c r="AV119" i="20"/>
  <c r="R119" i="20"/>
  <c r="Q119" i="20"/>
  <c r="O119" i="20"/>
  <c r="O118" i="20" s="1"/>
  <c r="AT116" i="20"/>
  <c r="AV115" i="20"/>
  <c r="AV112" i="20"/>
  <c r="R112" i="20"/>
  <c r="Q112" i="20"/>
  <c r="AV109" i="20"/>
  <c r="AU109" i="20"/>
  <c r="R109" i="20"/>
  <c r="Q109" i="20"/>
  <c r="AX107" i="20"/>
  <c r="AY107" i="20" s="1"/>
  <c r="AV107" i="20"/>
  <c r="AU107" i="20"/>
  <c r="R107" i="20"/>
  <c r="Q107" i="20"/>
  <c r="AV105" i="20"/>
  <c r="R105" i="20"/>
  <c r="Q105" i="20"/>
  <c r="AV96" i="20"/>
  <c r="R96" i="20"/>
  <c r="Q96" i="20"/>
  <c r="AV102" i="20"/>
  <c r="AU102" i="20"/>
  <c r="R102" i="20"/>
  <c r="Q102" i="20"/>
  <c r="AV101" i="20"/>
  <c r="R101" i="20"/>
  <c r="Q101" i="20"/>
  <c r="AV100" i="20"/>
  <c r="R100" i="20"/>
  <c r="Q100" i="20"/>
  <c r="AV99" i="20"/>
  <c r="R99" i="20"/>
  <c r="Q99" i="20"/>
  <c r="AV98" i="20"/>
  <c r="R98" i="20"/>
  <c r="Q98" i="20"/>
  <c r="AV97" i="20"/>
  <c r="R97" i="20"/>
  <c r="Q97" i="20"/>
  <c r="AV95" i="20"/>
  <c r="AU95" i="20"/>
  <c r="R95" i="20"/>
  <c r="Q95" i="20"/>
  <c r="AV89" i="20"/>
  <c r="AP89" i="20"/>
  <c r="R89" i="20"/>
  <c r="R88" i="20" s="1"/>
  <c r="Q89" i="20"/>
  <c r="Q88" i="20" s="1"/>
  <c r="O89" i="20"/>
  <c r="O88" i="20" s="1"/>
  <c r="O87" i="20" s="1"/>
  <c r="O86" i="20" s="1"/>
  <c r="L89" i="20"/>
  <c r="L88" i="20" s="1"/>
  <c r="L87" i="20" s="1"/>
  <c r="L86" i="20" s="1"/>
  <c r="AV92" i="20"/>
  <c r="R92" i="20"/>
  <c r="Q92" i="20"/>
  <c r="AV91" i="20"/>
  <c r="R91" i="20"/>
  <c r="Q91" i="20"/>
  <c r="AV85" i="20"/>
  <c r="AX83" i="20"/>
  <c r="AY83" i="20" s="1"/>
  <c r="AV83" i="20"/>
  <c r="R83" i="20"/>
  <c r="Q83" i="20"/>
  <c r="AV82" i="20"/>
  <c r="R82" i="20"/>
  <c r="Q82" i="20"/>
  <c r="AX75" i="20"/>
  <c r="AY75" i="20" s="1"/>
  <c r="AW75" i="20"/>
  <c r="AV75" i="20"/>
  <c r="R75" i="20"/>
  <c r="Q75" i="20"/>
  <c r="AX74" i="20"/>
  <c r="AY74" i="20" s="1"/>
  <c r="AW74" i="20"/>
  <c r="AV74" i="20"/>
  <c r="R74" i="20"/>
  <c r="Q74" i="20"/>
  <c r="AV73" i="20"/>
  <c r="R73" i="20"/>
  <c r="Q73" i="20"/>
  <c r="AV72" i="20"/>
  <c r="R72" i="20"/>
  <c r="Q72" i="20"/>
  <c r="AX71" i="20"/>
  <c r="AY71" i="20" s="1"/>
  <c r="AW71" i="20"/>
  <c r="AV71" i="20"/>
  <c r="R71" i="20"/>
  <c r="Q71" i="20"/>
  <c r="AX70" i="20"/>
  <c r="AW70" i="20"/>
  <c r="AV70" i="20"/>
  <c r="R70" i="20"/>
  <c r="Q70" i="20"/>
  <c r="AX66" i="20"/>
  <c r="AW66" i="20"/>
  <c r="AV66" i="20"/>
  <c r="R66" i="20"/>
  <c r="R64" i="20" s="1"/>
  <c r="Q66" i="20"/>
  <c r="Q64" i="20" s="1"/>
  <c r="AV69" i="20"/>
  <c r="AP69" i="20"/>
  <c r="R69" i="20"/>
  <c r="Q69" i="20"/>
  <c r="AV63" i="20"/>
  <c r="AP63" i="20"/>
  <c r="AU63" i="20" s="1"/>
  <c r="AH63" i="20"/>
  <c r="AH62" i="20" s="1"/>
  <c r="T62" i="20"/>
  <c r="R63" i="20"/>
  <c r="R62" i="20" s="1"/>
  <c r="Q63" i="20"/>
  <c r="Q62" i="20" s="1"/>
  <c r="AV65" i="20"/>
  <c r="S65" i="20"/>
  <c r="S64" i="20" s="1"/>
  <c r="AV59" i="20"/>
  <c r="AV40" i="20"/>
  <c r="AV39" i="20"/>
  <c r="T39" i="20"/>
  <c r="AV38" i="20"/>
  <c r="AV37" i="20"/>
  <c r="BC36" i="20"/>
  <c r="AV36" i="20"/>
  <c r="J36" i="20"/>
  <c r="I36" i="20"/>
  <c r="BC35" i="20"/>
  <c r="AV35" i="20"/>
  <c r="J35" i="20"/>
  <c r="BC34" i="20"/>
  <c r="AV34" i="20"/>
  <c r="J34" i="20"/>
  <c r="I34" i="20"/>
  <c r="AV33" i="20"/>
  <c r="AT33" i="20"/>
  <c r="AV32" i="20"/>
  <c r="AT32" i="20"/>
  <c r="AV31" i="20"/>
  <c r="AV29" i="20"/>
  <c r="AC26" i="20"/>
  <c r="AI26" i="20" s="1"/>
  <c r="AY19" i="20"/>
  <c r="AY20" i="20" s="1"/>
  <c r="AZ20" i="20" s="1"/>
  <c r="AT19" i="20"/>
  <c r="AG18" i="20"/>
  <c r="AG17" i="20" s="1"/>
  <c r="AG16" i="20" s="1"/>
  <c r="AF18" i="20"/>
  <c r="AF17" i="20" s="1"/>
  <c r="AF16" i="20" s="1"/>
  <c r="AE18" i="20"/>
  <c r="AE17" i="20" s="1"/>
  <c r="AD18" i="20"/>
  <c r="AD17" i="20" s="1"/>
  <c r="AC18" i="20"/>
  <c r="AD26" i="20" s="1"/>
  <c r="Y18" i="20"/>
  <c r="Y17" i="20" s="1"/>
  <c r="Y16" i="20" s="1"/>
  <c r="T18" i="20"/>
  <c r="T17" i="20" s="1"/>
  <c r="T16" i="20" s="1"/>
  <c r="BC11" i="20"/>
  <c r="AY11" i="20"/>
  <c r="BC10" i="20"/>
  <c r="AW10" i="20"/>
  <c r="AY9" i="20"/>
  <c r="AV9" i="20"/>
  <c r="BC8" i="20"/>
  <c r="AZ7" i="20"/>
  <c r="AV7" i="20"/>
  <c r="AQ314" i="20" l="1"/>
  <c r="AT42" i="20"/>
  <c r="AQ436" i="20"/>
  <c r="AQ399" i="20"/>
  <c r="AI333" i="20"/>
  <c r="AO333" i="20"/>
  <c r="AM333" i="20"/>
  <c r="AH333" i="20"/>
  <c r="AN333" i="20"/>
  <c r="R188" i="20"/>
  <c r="Q314" i="20"/>
  <c r="Q313" i="20" s="1"/>
  <c r="Q327" i="20"/>
  <c r="Q326" i="20" s="1"/>
  <c r="R327" i="20"/>
  <c r="R326" i="20" s="1"/>
  <c r="AN234" i="20"/>
  <c r="AH509" i="20"/>
  <c r="AI234" i="20"/>
  <c r="AL509" i="20"/>
  <c r="BG509" i="20" s="1"/>
  <c r="AO238" i="20"/>
  <c r="AO237" i="20" s="1"/>
  <c r="AO509" i="20"/>
  <c r="AN238" i="20"/>
  <c r="AN237" i="20" s="1"/>
  <c r="Q234" i="20"/>
  <c r="AI509" i="20"/>
  <c r="AN509" i="20"/>
  <c r="AM238" i="20"/>
  <c r="AM237" i="20" s="1"/>
  <c r="R234" i="20"/>
  <c r="AH238" i="20"/>
  <c r="AH237" i="20" s="1"/>
  <c r="AH234" i="20"/>
  <c r="AI238" i="20"/>
  <c r="AI237" i="20" s="1"/>
  <c r="AM509" i="20"/>
  <c r="AL238" i="20"/>
  <c r="AO327" i="20"/>
  <c r="AO326" i="20" s="1"/>
  <c r="AI327" i="20"/>
  <c r="AI314" i="20"/>
  <c r="AI313" i="20" s="1"/>
  <c r="AN327" i="20"/>
  <c r="AN326" i="20" s="1"/>
  <c r="AH327" i="20"/>
  <c r="AH326" i="20" s="1"/>
  <c r="AO234" i="20"/>
  <c r="AN395" i="20"/>
  <c r="AN394" i="20" s="1"/>
  <c r="R395" i="20"/>
  <c r="R394" i="20" s="1"/>
  <c r="Q395" i="20"/>
  <c r="Q394" i="20" s="1"/>
  <c r="AH395" i="20"/>
  <c r="AH394" i="20" s="1"/>
  <c r="AO395" i="20"/>
  <c r="AO394" i="20" s="1"/>
  <c r="AM316" i="20"/>
  <c r="AH314" i="20"/>
  <c r="AH313" i="20" s="1"/>
  <c r="AU315" i="20"/>
  <c r="AO314" i="20"/>
  <c r="AO313" i="20" s="1"/>
  <c r="AN314" i="20"/>
  <c r="AN313" i="20" s="1"/>
  <c r="AI413" i="20"/>
  <c r="AM280" i="20"/>
  <c r="AM279" i="20" s="1"/>
  <c r="AI278" i="20"/>
  <c r="Q140" i="20"/>
  <c r="Q149" i="20"/>
  <c r="Q146" i="20" s="1"/>
  <c r="R140" i="20"/>
  <c r="AM255" i="20"/>
  <c r="AM254" i="20" s="1"/>
  <c r="AO90" i="20"/>
  <c r="AO87" i="20" s="1"/>
  <c r="AN68" i="20"/>
  <c r="AN67" i="20" s="1"/>
  <c r="AH140" i="20"/>
  <c r="Q68" i="20"/>
  <c r="Q67" i="20" s="1"/>
  <c r="R68" i="20"/>
  <c r="R67" i="20" s="1"/>
  <c r="AH68" i="20"/>
  <c r="AH67" i="20" s="1"/>
  <c r="AI68" i="20"/>
  <c r="AI67" i="20" s="1"/>
  <c r="AO68" i="20"/>
  <c r="AO67" i="20" s="1"/>
  <c r="AM81" i="20"/>
  <c r="Q118" i="20"/>
  <c r="Q117" i="20" s="1"/>
  <c r="R255" i="20"/>
  <c r="R254" i="20" s="1"/>
  <c r="AI81" i="20"/>
  <c r="R90" i="20"/>
  <c r="R87" i="20" s="1"/>
  <c r="Q255" i="20"/>
  <c r="Q254" i="20" s="1"/>
  <c r="R118" i="20"/>
  <c r="R117" i="20" s="1"/>
  <c r="AC141" i="20"/>
  <c r="AC140" i="20" s="1"/>
  <c r="AC139" i="20" s="1"/>
  <c r="L255" i="20"/>
  <c r="L254" i="20" s="1"/>
  <c r="L250" i="20" s="1"/>
  <c r="P149" i="20"/>
  <c r="P146" i="20" s="1"/>
  <c r="O255" i="20"/>
  <c r="O254" i="20" s="1"/>
  <c r="O250" i="20" s="1"/>
  <c r="AO140" i="20"/>
  <c r="AM234" i="20"/>
  <c r="AN140" i="20"/>
  <c r="AH255" i="20"/>
  <c r="AH254" i="20" s="1"/>
  <c r="AO255" i="20"/>
  <c r="AO254" i="20" s="1"/>
  <c r="R156" i="20"/>
  <c r="R155" i="20" s="1"/>
  <c r="AH104" i="20"/>
  <c r="AH103" i="20" s="1"/>
  <c r="AI255" i="20"/>
  <c r="AI254" i="20" s="1"/>
  <c r="AN255" i="20"/>
  <c r="AN254" i="20" s="1"/>
  <c r="BG236" i="20"/>
  <c r="AO104" i="20"/>
  <c r="AO103" i="20" s="1"/>
  <c r="R149" i="20"/>
  <c r="R146" i="20" s="1"/>
  <c r="AH156" i="20"/>
  <c r="AH155" i="20" s="1"/>
  <c r="AI90" i="20"/>
  <c r="AI87" i="20" s="1"/>
  <c r="AN118" i="20"/>
  <c r="AN117" i="20" s="1"/>
  <c r="AH149" i="20"/>
  <c r="AH146" i="20" s="1"/>
  <c r="AI156" i="20"/>
  <c r="AI155" i="20" s="1"/>
  <c r="AN156" i="20"/>
  <c r="AN155" i="20" s="1"/>
  <c r="AN90" i="20"/>
  <c r="AN87" i="20" s="1"/>
  <c r="R104" i="20"/>
  <c r="R103" i="20" s="1"/>
  <c r="Q156" i="20"/>
  <c r="Q155" i="20" s="1"/>
  <c r="AM150" i="20"/>
  <c r="AL150" i="20" s="1"/>
  <c r="AI149" i="20"/>
  <c r="AI146" i="20" s="1"/>
  <c r="AO149" i="20"/>
  <c r="AO146" i="20" s="1"/>
  <c r="AM104" i="20"/>
  <c r="AM103" i="20" s="1"/>
  <c r="AH118" i="20"/>
  <c r="AH117" i="20" s="1"/>
  <c r="AI118" i="20"/>
  <c r="AI117" i="20" s="1"/>
  <c r="AN149" i="20"/>
  <c r="AN146" i="20" s="1"/>
  <c r="AO118" i="20"/>
  <c r="AO117" i="20" s="1"/>
  <c r="AM65" i="20"/>
  <c r="AI64" i="20"/>
  <c r="AI61" i="20" s="1"/>
  <c r="Q90" i="20"/>
  <c r="Q87" i="20" s="1"/>
  <c r="Q94" i="20"/>
  <c r="Q93" i="20" s="1"/>
  <c r="AH81" i="20"/>
  <c r="AH64" i="20"/>
  <c r="AH61" i="20" s="1"/>
  <c r="AI104" i="20"/>
  <c r="AI103" i="20" s="1"/>
  <c r="AI94" i="20"/>
  <c r="AI93" i="20" s="1"/>
  <c r="AN104" i="20"/>
  <c r="AN103" i="20" s="1"/>
  <c r="AO94" i="20"/>
  <c r="AO93" i="20" s="1"/>
  <c r="BG82" i="20"/>
  <c r="AL81" i="20"/>
  <c r="AO64" i="20"/>
  <c r="AO61" i="20" s="1"/>
  <c r="R94" i="20"/>
  <c r="R93" i="20" s="1"/>
  <c r="AH90" i="20"/>
  <c r="AH87" i="20" s="1"/>
  <c r="AN94" i="20"/>
  <c r="AN93" i="20" s="1"/>
  <c r="AO81" i="20"/>
  <c r="AN64" i="20"/>
  <c r="AN61" i="20" s="1"/>
  <c r="Q104" i="20"/>
  <c r="Q103" i="20" s="1"/>
  <c r="AH94" i="20"/>
  <c r="AH93" i="20" s="1"/>
  <c r="AN81" i="20"/>
  <c r="AO215" i="20"/>
  <c r="AO413" i="20"/>
  <c r="R422" i="20"/>
  <c r="R421" i="20" s="1"/>
  <c r="AI422" i="20"/>
  <c r="AI421" i="20" s="1"/>
  <c r="AM422" i="20"/>
  <c r="AN413" i="20"/>
  <c r="AH422" i="20"/>
  <c r="AH421" i="20" s="1"/>
  <c r="AN422" i="20"/>
  <c r="AN421" i="20" s="1"/>
  <c r="Q422" i="20"/>
  <c r="Q421" i="20" s="1"/>
  <c r="Q413" i="20"/>
  <c r="R413" i="20"/>
  <c r="AH413" i="20"/>
  <c r="AH306" i="20"/>
  <c r="AH305" i="20" s="1"/>
  <c r="AH304" i="20" s="1"/>
  <c r="AI306" i="20"/>
  <c r="AI305" i="20" s="1"/>
  <c r="AI304" i="20" s="1"/>
  <c r="Q363" i="20"/>
  <c r="Q362" i="20" s="1"/>
  <c r="Q359" i="20" s="1"/>
  <c r="Q358" i="20" s="1"/>
  <c r="Q349" i="20" s="1"/>
  <c r="R363" i="20"/>
  <c r="R362" i="20" s="1"/>
  <c r="R359" i="20" s="1"/>
  <c r="R358" i="20" s="1"/>
  <c r="R349" i="20" s="1"/>
  <c r="AO306" i="20"/>
  <c r="AO305" i="20" s="1"/>
  <c r="AO304" i="20" s="1"/>
  <c r="AN306" i="20"/>
  <c r="AN305" i="20" s="1"/>
  <c r="AN304" i="20" s="1"/>
  <c r="O117" i="20"/>
  <c r="O116" i="20" s="1"/>
  <c r="S117" i="20"/>
  <c r="S116" i="20" s="1"/>
  <c r="BG513" i="20"/>
  <c r="AH131" i="20"/>
  <c r="Q131" i="20"/>
  <c r="R131" i="20"/>
  <c r="BG510" i="20"/>
  <c r="R459" i="20"/>
  <c r="AU460" i="20"/>
  <c r="AP459" i="20"/>
  <c r="AU459" i="20" s="1"/>
  <c r="AC417" i="20"/>
  <c r="AC412" i="20" s="1"/>
  <c r="AC393" i="20" s="1"/>
  <c r="Q417" i="20"/>
  <c r="AO417" i="20"/>
  <c r="Q208" i="20"/>
  <c r="Q207" i="20" s="1"/>
  <c r="BD419" i="20"/>
  <c r="T417" i="20"/>
  <c r="R417" i="20"/>
  <c r="AN417" i="20"/>
  <c r="AL199" i="20"/>
  <c r="R161" i="20"/>
  <c r="R160" i="20" s="1"/>
  <c r="AI464" i="20"/>
  <c r="AI463" i="20" s="1"/>
  <c r="AU89" i="20"/>
  <c r="AM89" i="20"/>
  <c r="AI394" i="20"/>
  <c r="AM396" i="20"/>
  <c r="Y224" i="20"/>
  <c r="Y223" i="20" s="1"/>
  <c r="X222" i="20"/>
  <c r="X221" i="20" s="1"/>
  <c r="AL404" i="20"/>
  <c r="AI283" i="20"/>
  <c r="AI282" i="20" s="1"/>
  <c r="AM284" i="20"/>
  <c r="AI143" i="20"/>
  <c r="AM144" i="20"/>
  <c r="AL144" i="20" s="1"/>
  <c r="AU153" i="20"/>
  <c r="AL153" i="20"/>
  <c r="BG241" i="20"/>
  <c r="Q238" i="20"/>
  <c r="Q237" i="20" s="1"/>
  <c r="R238" i="20"/>
  <c r="R237" i="20" s="1"/>
  <c r="Q333" i="20"/>
  <c r="Q332" i="20" s="1"/>
  <c r="AI131" i="20"/>
  <c r="R333" i="20"/>
  <c r="R332" i="20" s="1"/>
  <c r="BG218" i="20"/>
  <c r="AN131" i="20"/>
  <c r="BG136" i="20"/>
  <c r="AU464" i="20"/>
  <c r="AH110" i="20"/>
  <c r="AI110" i="20"/>
  <c r="AO110" i="20"/>
  <c r="AM110" i="20"/>
  <c r="AN110" i="20"/>
  <c r="BG112" i="20"/>
  <c r="AU69" i="20"/>
  <c r="Q290" i="20"/>
  <c r="Q289" i="20" s="1"/>
  <c r="R290" i="20"/>
  <c r="R289" i="20" s="1"/>
  <c r="AI290" i="20"/>
  <c r="AI289" i="20" s="1"/>
  <c r="AN290" i="20"/>
  <c r="AN289" i="20" s="1"/>
  <c r="R208" i="20"/>
  <c r="R207" i="20" s="1"/>
  <c r="AH290" i="20"/>
  <c r="AH289" i="20" s="1"/>
  <c r="AO290" i="20"/>
  <c r="AO289" i="20" s="1"/>
  <c r="AU334" i="20"/>
  <c r="AI208" i="20"/>
  <c r="AI207" i="20" s="1"/>
  <c r="AN208" i="20"/>
  <c r="AN207" i="20" s="1"/>
  <c r="AU213" i="20"/>
  <c r="AP208" i="20"/>
  <c r="T237" i="20"/>
  <c r="T221" i="20" s="1"/>
  <c r="AU325" i="20"/>
  <c r="AP324" i="20"/>
  <c r="AU324" i="20" s="1"/>
  <c r="AH208" i="20"/>
  <c r="AH207" i="20" s="1"/>
  <c r="AO208" i="20"/>
  <c r="AO207" i="20" s="1"/>
  <c r="AU253" i="20"/>
  <c r="AL253" i="20"/>
  <c r="AB252" i="20"/>
  <c r="AB251" i="20" s="1"/>
  <c r="AB250" i="20" s="1"/>
  <c r="AH253" i="20"/>
  <c r="AH252" i="20" s="1"/>
  <c r="AH251" i="20" s="1"/>
  <c r="R192" i="20"/>
  <c r="R191" i="20" s="1"/>
  <c r="R440" i="20"/>
  <c r="R437" i="20" s="1"/>
  <c r="R436" i="20" s="1"/>
  <c r="T77" i="20"/>
  <c r="AP431" i="20"/>
  <c r="AI192" i="20"/>
  <c r="AI191" i="20" s="1"/>
  <c r="AN192" i="20"/>
  <c r="AN191" i="20" s="1"/>
  <c r="BG141" i="20"/>
  <c r="BG142" i="20"/>
  <c r="Q192" i="20"/>
  <c r="Q191" i="20" s="1"/>
  <c r="AU193" i="20"/>
  <c r="AP192" i="20"/>
  <c r="AH192" i="20"/>
  <c r="AH191" i="20" s="1"/>
  <c r="AO192" i="20"/>
  <c r="AO191" i="20" s="1"/>
  <c r="AM192" i="20"/>
  <c r="AM191" i="20" s="1"/>
  <c r="AO155" i="20"/>
  <c r="AM432" i="20"/>
  <c r="AM431" i="20" s="1"/>
  <c r="AO432" i="20"/>
  <c r="AO431" i="20" s="1"/>
  <c r="Q432" i="20"/>
  <c r="Q431" i="20" s="1"/>
  <c r="T432" i="20"/>
  <c r="T431" i="20" s="1"/>
  <c r="AI432" i="20"/>
  <c r="AI431" i="20" s="1"/>
  <c r="R432" i="20"/>
  <c r="R431" i="20" s="1"/>
  <c r="AH432" i="20"/>
  <c r="AH431" i="20" s="1"/>
  <c r="AN432" i="20"/>
  <c r="AN431" i="20" s="1"/>
  <c r="AH179" i="20"/>
  <c r="AH178" i="20" s="1"/>
  <c r="Q440" i="20"/>
  <c r="Q437" i="20" s="1"/>
  <c r="Q436" i="20" s="1"/>
  <c r="AO179" i="20"/>
  <c r="AO178" i="20" s="1"/>
  <c r="Q179" i="20"/>
  <c r="Q178" i="20" s="1"/>
  <c r="Q216" i="20"/>
  <c r="Q215" i="20" s="1"/>
  <c r="AN179" i="20"/>
  <c r="AN178" i="20" s="1"/>
  <c r="AO188" i="20"/>
  <c r="AO185" i="20" s="1"/>
  <c r="R179" i="20"/>
  <c r="R178" i="20" s="1"/>
  <c r="AI188" i="20"/>
  <c r="AI185" i="20" s="1"/>
  <c r="AH188" i="20"/>
  <c r="AH185" i="20" s="1"/>
  <c r="AI215" i="20"/>
  <c r="AI179" i="20"/>
  <c r="AI178" i="20" s="1"/>
  <c r="AN188" i="20"/>
  <c r="AN185" i="20" s="1"/>
  <c r="R216" i="20"/>
  <c r="R215" i="20" s="1"/>
  <c r="AN440" i="20"/>
  <c r="AN437" i="20" s="1"/>
  <c r="AN436" i="20" s="1"/>
  <c r="AH215" i="20"/>
  <c r="AN215" i="20"/>
  <c r="AM215" i="20"/>
  <c r="AO440" i="20"/>
  <c r="AO437" i="20" s="1"/>
  <c r="AO436" i="20" s="1"/>
  <c r="AH440" i="20"/>
  <c r="AH437" i="20" s="1"/>
  <c r="AH436" i="20" s="1"/>
  <c r="AI440" i="20"/>
  <c r="AU74" i="20"/>
  <c r="BF74" i="20"/>
  <c r="Q161" i="20"/>
  <c r="Q160" i="20" s="1"/>
  <c r="AO131" i="20"/>
  <c r="R198" i="20"/>
  <c r="R197" i="20" s="1"/>
  <c r="AI124" i="20"/>
  <c r="AI123" i="20" s="1"/>
  <c r="AO198" i="20"/>
  <c r="AO197" i="20" s="1"/>
  <c r="AO124" i="20"/>
  <c r="AO123" i="20" s="1"/>
  <c r="AN198" i="20"/>
  <c r="AN197" i="20" s="1"/>
  <c r="AN124" i="20"/>
  <c r="AN123" i="20" s="1"/>
  <c r="Q124" i="20"/>
  <c r="Q123" i="20" s="1"/>
  <c r="AH124" i="20"/>
  <c r="AH123" i="20" s="1"/>
  <c r="AI198" i="20"/>
  <c r="AI197" i="20" s="1"/>
  <c r="R124" i="20"/>
  <c r="R123" i="20" s="1"/>
  <c r="Q198" i="20"/>
  <c r="Q197" i="20" s="1"/>
  <c r="AU229" i="20"/>
  <c r="AL229" i="20"/>
  <c r="BG229" i="20" s="1"/>
  <c r="AH198" i="20"/>
  <c r="AH197" i="20" s="1"/>
  <c r="AH161" i="20"/>
  <c r="AH160" i="20" s="1"/>
  <c r="AM297" i="20"/>
  <c r="AM296" i="20" s="1"/>
  <c r="Q297" i="20"/>
  <c r="Q296" i="20" s="1"/>
  <c r="AI297" i="20"/>
  <c r="AI296" i="20" s="1"/>
  <c r="AO297" i="20"/>
  <c r="AO296" i="20" s="1"/>
  <c r="R297" i="20"/>
  <c r="R296" i="20" s="1"/>
  <c r="AN297" i="20"/>
  <c r="AN296" i="20" s="1"/>
  <c r="AU293" i="20"/>
  <c r="Q111" i="20"/>
  <c r="Q110" i="20" s="1"/>
  <c r="R111" i="20"/>
  <c r="R110" i="20" s="1"/>
  <c r="AN161" i="20"/>
  <c r="AN160" i="20" s="1"/>
  <c r="AI161" i="20"/>
  <c r="AI160" i="20" s="1"/>
  <c r="AO161" i="20"/>
  <c r="AO160" i="20" s="1"/>
  <c r="AM161" i="20"/>
  <c r="AM160" i="20" s="1"/>
  <c r="AL161" i="20"/>
  <c r="AU105" i="20"/>
  <c r="Q266" i="20"/>
  <c r="Q267" i="20"/>
  <c r="R266" i="20"/>
  <c r="R267" i="20"/>
  <c r="AH267" i="20"/>
  <c r="AH266" i="20" s="1"/>
  <c r="AI267" i="20"/>
  <c r="AI266" i="20" s="1"/>
  <c r="AN267" i="20"/>
  <c r="AN266" i="20" s="1"/>
  <c r="AL267" i="20"/>
  <c r="AM267" i="20"/>
  <c r="AM266" i="20" s="1"/>
  <c r="AO267" i="20"/>
  <c r="AO266" i="20" s="1"/>
  <c r="AV266" i="20"/>
  <c r="Q399" i="20"/>
  <c r="Q77" i="20"/>
  <c r="R399" i="20"/>
  <c r="Q402" i="20"/>
  <c r="AN402" i="20"/>
  <c r="AN399" i="20"/>
  <c r="AO421" i="20"/>
  <c r="AI402" i="20"/>
  <c r="AI399" i="20"/>
  <c r="R402" i="20"/>
  <c r="AO399" i="20"/>
  <c r="AO402" i="20"/>
  <c r="AB398" i="20"/>
  <c r="BD403" i="20"/>
  <c r="T398" i="20"/>
  <c r="S412" i="20"/>
  <c r="L412" i="20"/>
  <c r="L393" i="20" s="1"/>
  <c r="L61" i="20"/>
  <c r="L60" i="20" s="1"/>
  <c r="AU329" i="20"/>
  <c r="AE155" i="20"/>
  <c r="AE139" i="20" s="1"/>
  <c r="AQ326" i="20"/>
  <c r="AC23" i="20"/>
  <c r="AI23" i="20" s="1"/>
  <c r="BG212" i="20"/>
  <c r="AL66" i="20"/>
  <c r="AP62" i="20"/>
  <c r="K61" i="20"/>
  <c r="K60" i="20" s="1"/>
  <c r="AQ77" i="20"/>
  <c r="AP88" i="20"/>
  <c r="AU88" i="20" s="1"/>
  <c r="AQ178" i="20"/>
  <c r="R306" i="20"/>
  <c r="R305" i="20" s="1"/>
  <c r="R304" i="20" s="1"/>
  <c r="Q452" i="20"/>
  <c r="Q451" i="20" s="1"/>
  <c r="Q449" i="20" s="1"/>
  <c r="Q306" i="20"/>
  <c r="Q305" i="20" s="1"/>
  <c r="Q304" i="20" s="1"/>
  <c r="AQ452" i="20"/>
  <c r="AQ451" i="20" s="1"/>
  <c r="AP454" i="20"/>
  <c r="AM454" i="20"/>
  <c r="AM453" i="20" s="1"/>
  <c r="R452" i="20"/>
  <c r="R451" i="20" s="1"/>
  <c r="R77" i="20"/>
  <c r="AN452" i="20"/>
  <c r="AN451" i="20" s="1"/>
  <c r="AN449" i="20" s="1"/>
  <c r="AR452" i="20"/>
  <c r="AR451" i="20" s="1"/>
  <c r="AM457" i="20"/>
  <c r="AM456" i="20" s="1"/>
  <c r="AM455" i="20" s="1"/>
  <c r="AQ457" i="20"/>
  <c r="AQ456" i="20" s="1"/>
  <c r="AQ455" i="20" s="1"/>
  <c r="AS435" i="20"/>
  <c r="AD439" i="20"/>
  <c r="AD438" i="20" s="1"/>
  <c r="AD437" i="20" s="1"/>
  <c r="AC438" i="20"/>
  <c r="AC437" i="20" s="1"/>
  <c r="AC436" i="20" s="1"/>
  <c r="AG447" i="20"/>
  <c r="AF435" i="20"/>
  <c r="AI452" i="20"/>
  <c r="AI451" i="20" s="1"/>
  <c r="AH452" i="20"/>
  <c r="AH451" i="20" s="1"/>
  <c r="AO452" i="20"/>
  <c r="AO451" i="20" s="1"/>
  <c r="AO449" i="20" s="1"/>
  <c r="BA426" i="20"/>
  <c r="S421" i="20"/>
  <c r="AI419" i="20"/>
  <c r="AI346" i="20"/>
  <c r="AI345" i="20" s="1"/>
  <c r="AI342" i="20" s="1"/>
  <c r="Y345" i="20"/>
  <c r="Y342" i="20" s="1"/>
  <c r="AN346" i="20"/>
  <c r="AN345" i="20" s="1"/>
  <c r="AN342" i="20" s="1"/>
  <c r="AR345" i="20"/>
  <c r="AR342" i="20" s="1"/>
  <c r="AO346" i="20"/>
  <c r="AO345" i="20" s="1"/>
  <c r="AO342" i="20" s="1"/>
  <c r="AS345" i="20"/>
  <c r="AS342" i="20" s="1"/>
  <c r="AQ313" i="20"/>
  <c r="R313" i="20"/>
  <c r="R286" i="20"/>
  <c r="R285" i="20" s="1"/>
  <c r="AM307" i="20"/>
  <c r="AQ305" i="20"/>
  <c r="AQ304" i="20" s="1"/>
  <c r="Q286" i="20"/>
  <c r="Q285" i="20" s="1"/>
  <c r="AI286" i="20"/>
  <c r="AI285" i="20" s="1"/>
  <c r="AH286" i="20"/>
  <c r="AH285" i="20" s="1"/>
  <c r="AM287" i="20"/>
  <c r="AQ285" i="20"/>
  <c r="AO286" i="20"/>
  <c r="AO285" i="20" s="1"/>
  <c r="AN286" i="20"/>
  <c r="AN285" i="20" s="1"/>
  <c r="AH278" i="20"/>
  <c r="AO278" i="20"/>
  <c r="AU223" i="20"/>
  <c r="Q278" i="20"/>
  <c r="R278" i="20"/>
  <c r="AU255" i="20"/>
  <c r="AP252" i="20"/>
  <c r="AU252" i="20" s="1"/>
  <c r="N222" i="20"/>
  <c r="N221" i="20" s="1"/>
  <c r="AQ227" i="20"/>
  <c r="AQ226" i="20" s="1"/>
  <c r="AQ221" i="20" s="1"/>
  <c r="AO227" i="20"/>
  <c r="AO226" i="20" s="1"/>
  <c r="AN227" i="20"/>
  <c r="AN226" i="20" s="1"/>
  <c r="AH227" i="20"/>
  <c r="AH226" i="20" s="1"/>
  <c r="Q227" i="20"/>
  <c r="Q226" i="20" s="1"/>
  <c r="AI227" i="20"/>
  <c r="AI226" i="20" s="1"/>
  <c r="R227" i="20"/>
  <c r="R226" i="20" s="1"/>
  <c r="AM222" i="20"/>
  <c r="AN222" i="20"/>
  <c r="AO222" i="20"/>
  <c r="Q203" i="20"/>
  <c r="Q202" i="20" s="1"/>
  <c r="AV215" i="20"/>
  <c r="AR196" i="20"/>
  <c r="L207" i="20"/>
  <c r="L196" i="20" s="1"/>
  <c r="R203" i="20"/>
  <c r="R202" i="20" s="1"/>
  <c r="AS196" i="20"/>
  <c r="AU216" i="20"/>
  <c r="AQ202" i="20"/>
  <c r="AQ196" i="20" s="1"/>
  <c r="AH203" i="20"/>
  <c r="AH202" i="20" s="1"/>
  <c r="AO203" i="20"/>
  <c r="AO202" i="20" s="1"/>
  <c r="AI203" i="20"/>
  <c r="AI202" i="20" s="1"/>
  <c r="AN203" i="20"/>
  <c r="AN202" i="20" s="1"/>
  <c r="AR61" i="20"/>
  <c r="N61" i="20"/>
  <c r="N60" i="20" s="1"/>
  <c r="M61" i="20"/>
  <c r="M60" i="20" s="1"/>
  <c r="AM189" i="20"/>
  <c r="AQ185" i="20"/>
  <c r="AV326" i="20"/>
  <c r="Q185" i="20"/>
  <c r="R185" i="20"/>
  <c r="AH173" i="20"/>
  <c r="AB173" i="20"/>
  <c r="AB172" i="20" s="1"/>
  <c r="T146" i="20"/>
  <c r="T139" i="20" s="1"/>
  <c r="L146" i="20"/>
  <c r="L139" i="20" s="1"/>
  <c r="AM173" i="20"/>
  <c r="AQ173" i="20"/>
  <c r="AU144" i="20"/>
  <c r="AQ143" i="20"/>
  <c r="AQ140" i="20" s="1"/>
  <c r="AV451" i="20"/>
  <c r="AV103" i="20"/>
  <c r="L117" i="20"/>
  <c r="L116" i="20" s="1"/>
  <c r="AQ123" i="20"/>
  <c r="AO77" i="20"/>
  <c r="AL91" i="20"/>
  <c r="P61" i="20"/>
  <c r="P60" i="20" s="1"/>
  <c r="O61" i="20"/>
  <c r="O60" i="20" s="1"/>
  <c r="AS61" i="20"/>
  <c r="S62" i="20"/>
  <c r="S61" i="20" s="1"/>
  <c r="AB62" i="20"/>
  <c r="AB61" i="20" s="1"/>
  <c r="R61" i="20"/>
  <c r="AN77" i="20"/>
  <c r="T61" i="20"/>
  <c r="AI77" i="20"/>
  <c r="AH77" i="20"/>
  <c r="Q61" i="20"/>
  <c r="AL310" i="20"/>
  <c r="BG310" i="20" s="1"/>
  <c r="AL298" i="20"/>
  <c r="BG298" i="20" s="1"/>
  <c r="AL337" i="20"/>
  <c r="BG337" i="20" s="1"/>
  <c r="AL336" i="20"/>
  <c r="AL335" i="20"/>
  <c r="BG335" i="20" s="1"/>
  <c r="AL334" i="20"/>
  <c r="AP72" i="20"/>
  <c r="AU72" i="20" s="1"/>
  <c r="AM72" i="20"/>
  <c r="AM92" i="20"/>
  <c r="AL92" i="20"/>
  <c r="AU158" i="20"/>
  <c r="AM158" i="20"/>
  <c r="AU228" i="20"/>
  <c r="AM228" i="20"/>
  <c r="AL230" i="20"/>
  <c r="BG230" i="20" s="1"/>
  <c r="AL415" i="20"/>
  <c r="BG415" i="20" s="1"/>
  <c r="AL299" i="20"/>
  <c r="BG299" i="20" s="1"/>
  <c r="AL292" i="20"/>
  <c r="BG292" i="20" s="1"/>
  <c r="AM128" i="20"/>
  <c r="AP120" i="20"/>
  <c r="AM125" i="20"/>
  <c r="AU152" i="20"/>
  <c r="AM152" i="20"/>
  <c r="AM180" i="20"/>
  <c r="AP181" i="20"/>
  <c r="AU181" i="20" s="1"/>
  <c r="AP183" i="20"/>
  <c r="AU183" i="20" s="1"/>
  <c r="AU190" i="20"/>
  <c r="AM190" i="20"/>
  <c r="AU182" i="20"/>
  <c r="AU206" i="20"/>
  <c r="AM206" i="20"/>
  <c r="AL224" i="20"/>
  <c r="AL223" i="20" s="1"/>
  <c r="AU308" i="20"/>
  <c r="AM308" i="20"/>
  <c r="AU309" i="20"/>
  <c r="AM309" i="20"/>
  <c r="AU317" i="20"/>
  <c r="AM317" i="20"/>
  <c r="AP405" i="20"/>
  <c r="AU405" i="20" s="1"/>
  <c r="AM405" i="20"/>
  <c r="AL464" i="20"/>
  <c r="AL463" i="20" s="1"/>
  <c r="AL460" i="20"/>
  <c r="AL448" i="20"/>
  <c r="BG448" i="20" s="1"/>
  <c r="AL447" i="20"/>
  <c r="BG447" i="20" s="1"/>
  <c r="AL159" i="20"/>
  <c r="BG159" i="20" s="1"/>
  <c r="BG213" i="20"/>
  <c r="BG214" i="20"/>
  <c r="BG211" i="20"/>
  <c r="AU70" i="20"/>
  <c r="AM70" i="20"/>
  <c r="AP73" i="20"/>
  <c r="AU73" i="20" s="1"/>
  <c r="AM157" i="20"/>
  <c r="AU233" i="20"/>
  <c r="AM233" i="20"/>
  <c r="AQ346" i="20"/>
  <c r="AM347" i="20"/>
  <c r="AP400" i="20"/>
  <c r="AP399" i="20" s="1"/>
  <c r="AM399" i="20"/>
  <c r="AP406" i="20"/>
  <c r="AU406" i="20" s="1"/>
  <c r="AM406" i="20"/>
  <c r="AM408" i="20"/>
  <c r="AP409" i="20"/>
  <c r="AU409" i="20" s="1"/>
  <c r="AM409" i="20"/>
  <c r="AP71" i="20"/>
  <c r="AM71" i="20"/>
  <c r="AP75" i="20"/>
  <c r="AU75" i="20" s="1"/>
  <c r="AM75" i="20"/>
  <c r="BG109" i="20"/>
  <c r="AU119" i="20"/>
  <c r="AL119" i="20"/>
  <c r="AU187" i="20"/>
  <c r="AM186" i="20"/>
  <c r="AU232" i="20"/>
  <c r="AM232" i="20"/>
  <c r="AU288" i="20"/>
  <c r="AM288" i="20"/>
  <c r="AU411" i="20"/>
  <c r="AP441" i="20"/>
  <c r="AU441" i="20" s="1"/>
  <c r="AM441" i="20"/>
  <c r="AP442" i="20"/>
  <c r="AM442" i="20"/>
  <c r="AM77" i="20"/>
  <c r="AL95" i="20"/>
  <c r="AM97" i="20"/>
  <c r="AU98" i="20"/>
  <c r="AP99" i="20"/>
  <c r="AP101" i="20"/>
  <c r="AU101" i="20" s="1"/>
  <c r="BG102" i="20"/>
  <c r="AL105" i="20"/>
  <c r="AL107" i="20"/>
  <c r="BG107" i="20" s="1"/>
  <c r="AP121" i="20"/>
  <c r="AU121" i="20" s="1"/>
  <c r="AM121" i="20"/>
  <c r="AU130" i="20"/>
  <c r="AU127" i="20"/>
  <c r="AL128" i="20"/>
  <c r="BG128" i="20" s="1"/>
  <c r="AU129" i="20"/>
  <c r="AM129" i="20"/>
  <c r="AL151" i="20"/>
  <c r="BG151" i="20" s="1"/>
  <c r="AP184" i="20"/>
  <c r="AU184" i="20" s="1"/>
  <c r="AM184" i="20"/>
  <c r="AU201" i="20"/>
  <c r="AM201" i="20"/>
  <c r="AU204" i="20"/>
  <c r="AU205" i="20"/>
  <c r="AM205" i="20"/>
  <c r="AU209" i="20"/>
  <c r="AU210" i="20"/>
  <c r="AL256" i="20"/>
  <c r="BG256" i="20" s="1"/>
  <c r="AL257" i="20"/>
  <c r="AL258" i="20"/>
  <c r="BG258" i="20" s="1"/>
  <c r="AL259" i="20"/>
  <c r="BG259" i="20" s="1"/>
  <c r="AL260" i="20"/>
  <c r="BG260" i="20" s="1"/>
  <c r="AL261" i="20"/>
  <c r="BG261" i="20" s="1"/>
  <c r="AL262" i="20"/>
  <c r="BG262" i="20" s="1"/>
  <c r="AL263" i="20"/>
  <c r="AP407" i="20"/>
  <c r="AU407" i="20" s="1"/>
  <c r="AU446" i="20"/>
  <c r="AM446" i="20"/>
  <c r="AM445" i="20" s="1"/>
  <c r="AM444" i="20" s="1"/>
  <c r="AM443" i="20" s="1"/>
  <c r="AL426" i="20"/>
  <c r="BG426" i="20" s="1"/>
  <c r="AL425" i="20"/>
  <c r="BG425" i="20" s="1"/>
  <c r="AL424" i="20"/>
  <c r="BG424" i="20" s="1"/>
  <c r="AL401" i="20"/>
  <c r="BG401" i="20" s="1"/>
  <c r="AL329" i="20"/>
  <c r="AL328" i="20"/>
  <c r="BG328" i="20" s="1"/>
  <c r="AL315" i="20"/>
  <c r="BG315" i="20" s="1"/>
  <c r="AL325" i="20"/>
  <c r="AI439" i="20"/>
  <c r="AI438" i="20" s="1"/>
  <c r="AH224" i="20"/>
  <c r="AH223" i="20" s="1"/>
  <c r="AI142" i="20"/>
  <c r="AI141" i="20" s="1"/>
  <c r="H139" i="20"/>
  <c r="AZ22" i="20"/>
  <c r="AI18" i="20"/>
  <c r="AC17" i="20"/>
  <c r="H36" i="20"/>
  <c r="H34" i="20"/>
  <c r="AU215" i="20"/>
  <c r="AH407" i="20"/>
  <c r="AH402" i="20" s="1"/>
  <c r="AH297" i="20"/>
  <c r="AH296" i="20" s="1"/>
  <c r="AV455" i="20"/>
  <c r="AU91" i="20"/>
  <c r="AX28" i="20"/>
  <c r="AU287" i="20"/>
  <c r="AU307" i="20"/>
  <c r="AP458" i="20"/>
  <c r="AU458" i="20" s="1"/>
  <c r="H35" i="20"/>
  <c r="T256" i="20"/>
  <c r="AI418" i="20"/>
  <c r="AV289" i="20"/>
  <c r="AH400" i="20"/>
  <c r="AH399" i="20" s="1"/>
  <c r="AH346" i="20"/>
  <c r="AH345" i="20" s="1"/>
  <c r="AH342" i="20" s="1"/>
  <c r="AX16" i="20"/>
  <c r="AY16" i="20"/>
  <c r="AV155" i="20"/>
  <c r="AY70" i="20"/>
  <c r="AV237" i="20"/>
  <c r="AP122" i="20"/>
  <c r="Q224" i="20"/>
  <c r="Q223" i="20" s="1"/>
  <c r="AB419" i="20"/>
  <c r="AB417" i="20" s="1"/>
  <c r="AT18" i="20"/>
  <c r="AT17" i="20" s="1"/>
  <c r="AY6" i="20" s="1"/>
  <c r="AV19" i="20"/>
  <c r="AW19" i="20" s="1"/>
  <c r="AX19" i="20" s="1"/>
  <c r="AP316" i="20"/>
  <c r="AU316" i="20" s="1"/>
  <c r="AU410" i="20"/>
  <c r="AV443" i="20"/>
  <c r="AU347" i="20"/>
  <c r="Q60" i="20" l="1"/>
  <c r="R312" i="20"/>
  <c r="R449" i="20"/>
  <c r="R435" i="20" s="1"/>
  <c r="Q312" i="20"/>
  <c r="BG336" i="20"/>
  <c r="AL333" i="20"/>
  <c r="R60" i="20"/>
  <c r="AU454" i="20"/>
  <c r="AP453" i="20"/>
  <c r="AU453" i="20" s="1"/>
  <c r="AQ449" i="20"/>
  <c r="AQ435" i="20" s="1"/>
  <c r="AR449" i="20"/>
  <c r="AR435" i="20" s="1"/>
  <c r="AD436" i="20"/>
  <c r="AD435" i="20" s="1"/>
  <c r="AG436" i="20"/>
  <c r="AG435" i="20" s="1"/>
  <c r="AL280" i="20"/>
  <c r="AL279" i="20" s="1"/>
  <c r="AQ172" i="20"/>
  <c r="AT171" i="20" s="1"/>
  <c r="AI172" i="20"/>
  <c r="R172" i="20"/>
  <c r="Q172" i="20"/>
  <c r="AH172" i="20"/>
  <c r="AO172" i="20"/>
  <c r="AN172" i="20"/>
  <c r="AI326" i="20"/>
  <c r="AM395" i="20"/>
  <c r="AM394" i="20" s="1"/>
  <c r="AN280" i="20"/>
  <c r="AP314" i="20"/>
  <c r="AU314" i="20" s="1"/>
  <c r="AM314" i="20"/>
  <c r="AM313" i="20" s="1"/>
  <c r="AQ278" i="20"/>
  <c r="AR278" i="20"/>
  <c r="AR277" i="20" s="1"/>
  <c r="AM156" i="20"/>
  <c r="AM155" i="20" s="1"/>
  <c r="AN250" i="20"/>
  <c r="AI140" i="20"/>
  <c r="AI139" i="20" s="1"/>
  <c r="AI250" i="20"/>
  <c r="AU71" i="20"/>
  <c r="AP68" i="20"/>
  <c r="AP67" i="20" s="1"/>
  <c r="AM68" i="20"/>
  <c r="AM67" i="20" s="1"/>
  <c r="Q250" i="20"/>
  <c r="R250" i="20"/>
  <c r="AO250" i="20"/>
  <c r="P139" i="20"/>
  <c r="AP118" i="20"/>
  <c r="AM250" i="20"/>
  <c r="T255" i="20"/>
  <c r="T254" i="20" s="1"/>
  <c r="T250" i="20" s="1"/>
  <c r="BG257" i="20"/>
  <c r="AL255" i="20"/>
  <c r="AH250" i="20"/>
  <c r="BG263" i="20"/>
  <c r="BG95" i="20"/>
  <c r="AU99" i="20"/>
  <c r="AP94" i="20"/>
  <c r="BG91" i="20"/>
  <c r="AL90" i="20"/>
  <c r="BG105" i="20"/>
  <c r="AL104" i="20"/>
  <c r="AL65" i="20"/>
  <c r="AL64" i="20" s="1"/>
  <c r="AU120" i="20"/>
  <c r="BG119" i="20"/>
  <c r="AM306" i="20"/>
  <c r="AM305" i="20" s="1"/>
  <c r="AM304" i="20" s="1"/>
  <c r="AT303" i="20"/>
  <c r="AT220" i="20"/>
  <c r="AU122" i="20"/>
  <c r="BG460" i="20"/>
  <c r="AL459" i="20"/>
  <c r="BG459" i="20" s="1"/>
  <c r="AI460" i="20"/>
  <c r="AI459" i="20" s="1"/>
  <c r="AI449" i="20" s="1"/>
  <c r="AC435" i="20"/>
  <c r="AH460" i="20"/>
  <c r="AH459" i="20" s="1"/>
  <c r="AB435" i="20"/>
  <c r="AI417" i="20"/>
  <c r="AI412" i="20" s="1"/>
  <c r="AU199" i="20"/>
  <c r="AL89" i="20"/>
  <c r="BG89" i="20" s="1"/>
  <c r="AM88" i="20"/>
  <c r="BG464" i="20"/>
  <c r="BG463" i="20"/>
  <c r="AM143" i="20"/>
  <c r="AM140" i="20" s="1"/>
  <c r="R224" i="20"/>
  <c r="AU463" i="20"/>
  <c r="AL396" i="20"/>
  <c r="AL395" i="20" s="1"/>
  <c r="Q222" i="20"/>
  <c r="Q221" i="20" s="1"/>
  <c r="AH222" i="20"/>
  <c r="AH221" i="20" s="1"/>
  <c r="AL284" i="20"/>
  <c r="AM283" i="20"/>
  <c r="AM282" i="20" s="1"/>
  <c r="BG224" i="20"/>
  <c r="AP404" i="20"/>
  <c r="AU404" i="20" s="1"/>
  <c r="AQ402" i="20"/>
  <c r="AQ398" i="20" s="1"/>
  <c r="AP227" i="20"/>
  <c r="AU227" i="20" s="1"/>
  <c r="AO221" i="20"/>
  <c r="AO116" i="20"/>
  <c r="AN116" i="20"/>
  <c r="Q116" i="20"/>
  <c r="R86" i="20"/>
  <c r="AN86" i="20"/>
  <c r="AI277" i="20"/>
  <c r="R277" i="20"/>
  <c r="AI86" i="20"/>
  <c r="AH86" i="20"/>
  <c r="R116" i="20"/>
  <c r="AN221" i="20"/>
  <c r="Q277" i="20"/>
  <c r="AO277" i="20"/>
  <c r="AH277" i="20"/>
  <c r="BG303" i="20"/>
  <c r="AU303" i="20"/>
  <c r="Q86" i="20"/>
  <c r="R139" i="20"/>
  <c r="AN139" i="20"/>
  <c r="AO139" i="20"/>
  <c r="AI116" i="20"/>
  <c r="AH116" i="20"/>
  <c r="AH196" i="20"/>
  <c r="BG69" i="20"/>
  <c r="AO86" i="20"/>
  <c r="S393" i="20"/>
  <c r="AH139" i="20"/>
  <c r="Q139" i="20"/>
  <c r="Q196" i="20"/>
  <c r="AI196" i="20"/>
  <c r="AN196" i="20"/>
  <c r="AO196" i="20"/>
  <c r="R196" i="20"/>
  <c r="AM290" i="20"/>
  <c r="AM289" i="20" s="1"/>
  <c r="BG329" i="20"/>
  <c r="BG334" i="20"/>
  <c r="BG92" i="20"/>
  <c r="AM208" i="20"/>
  <c r="AM207" i="20" s="1"/>
  <c r="AU62" i="20"/>
  <c r="AP61" i="20"/>
  <c r="AU97" i="20"/>
  <c r="AL266" i="20"/>
  <c r="BG266" i="20" s="1"/>
  <c r="BG267" i="20"/>
  <c r="AL160" i="20"/>
  <c r="BG160" i="20" s="1"/>
  <c r="BG161" i="20"/>
  <c r="AL131" i="20"/>
  <c r="BG131" i="20" s="1"/>
  <c r="BG132" i="20"/>
  <c r="AL62" i="20"/>
  <c r="BG63" i="20"/>
  <c r="AL324" i="20"/>
  <c r="BG325" i="20"/>
  <c r="BG193" i="20"/>
  <c r="AL192" i="20"/>
  <c r="BG192" i="20" s="1"/>
  <c r="AL252" i="20"/>
  <c r="BG253" i="20"/>
  <c r="BG66" i="20"/>
  <c r="AL234" i="20"/>
  <c r="BG234" i="20" s="1"/>
  <c r="BG235" i="20"/>
  <c r="AL237" i="20"/>
  <c r="BG237" i="20" s="1"/>
  <c r="BG238" i="20"/>
  <c r="AL110" i="20"/>
  <c r="BG110" i="20" s="1"/>
  <c r="BG111" i="20"/>
  <c r="AU192" i="20"/>
  <c r="AP191" i="20"/>
  <c r="AL432" i="20"/>
  <c r="BG432" i="20" s="1"/>
  <c r="AU156" i="20"/>
  <c r="AI437" i="20"/>
  <c r="AI436" i="20" s="1"/>
  <c r="AM440" i="20"/>
  <c r="AM179" i="20"/>
  <c r="AM178" i="20" s="1"/>
  <c r="AU180" i="20"/>
  <c r="AP179" i="20"/>
  <c r="AU179" i="20" s="1"/>
  <c r="AM188" i="20"/>
  <c r="AM185" i="20" s="1"/>
  <c r="AU189" i="20"/>
  <c r="AP188" i="20"/>
  <c r="AU188" i="20" s="1"/>
  <c r="BG74" i="20"/>
  <c r="AU442" i="20"/>
  <c r="AP440" i="20"/>
  <c r="AU440" i="20" s="1"/>
  <c r="AU422" i="20"/>
  <c r="AL423" i="20"/>
  <c r="AL422" i="20" s="1"/>
  <c r="AU330" i="20"/>
  <c r="AL330" i="20"/>
  <c r="AL327" i="20" s="1"/>
  <c r="AM198" i="20"/>
  <c r="AM197" i="20" s="1"/>
  <c r="AU231" i="20"/>
  <c r="AL231" i="20"/>
  <c r="BG231" i="20" s="1"/>
  <c r="AU200" i="20"/>
  <c r="AP198" i="20"/>
  <c r="AU126" i="20"/>
  <c r="AP124" i="20"/>
  <c r="AU124" i="20" s="1"/>
  <c r="AM124" i="20"/>
  <c r="AM123" i="20" s="1"/>
  <c r="AQ117" i="20"/>
  <c r="Y222" i="20"/>
  <c r="Y221" i="20" s="1"/>
  <c r="AU125" i="20"/>
  <c r="AP289" i="20"/>
  <c r="AU289" i="20" s="1"/>
  <c r="AU290" i="20"/>
  <c r="AU291" i="20"/>
  <c r="AL297" i="20"/>
  <c r="AU327" i="20"/>
  <c r="AP103" i="20"/>
  <c r="AU103" i="20" s="1"/>
  <c r="Q398" i="20"/>
  <c r="R398" i="20"/>
  <c r="AU423" i="20"/>
  <c r="BF66" i="20"/>
  <c r="R412" i="20"/>
  <c r="AU408" i="20"/>
  <c r="AH398" i="20"/>
  <c r="AO412" i="20"/>
  <c r="AN412" i="20"/>
  <c r="AU400" i="20"/>
  <c r="Q412" i="20"/>
  <c r="AN398" i="20"/>
  <c r="AO398" i="20"/>
  <c r="AI398" i="20"/>
  <c r="AB412" i="20"/>
  <c r="AB393" i="20" s="1"/>
  <c r="AU78" i="20"/>
  <c r="AM326" i="20"/>
  <c r="AU157" i="20"/>
  <c r="AC16" i="20"/>
  <c r="AI16" i="20" s="1"/>
  <c r="AU92" i="20"/>
  <c r="AU66" i="20"/>
  <c r="AP87" i="20"/>
  <c r="AP323" i="20"/>
  <c r="AU323" i="20" s="1"/>
  <c r="AM421" i="20"/>
  <c r="AL316" i="20"/>
  <c r="BG316" i="20" s="1"/>
  <c r="AF28" i="20"/>
  <c r="AG28" i="20"/>
  <c r="AL347" i="20"/>
  <c r="BG347" i="20" s="1"/>
  <c r="AP186" i="20"/>
  <c r="AU186" i="20" s="1"/>
  <c r="AP222" i="20"/>
  <c r="AP77" i="20"/>
  <c r="AL228" i="20"/>
  <c r="BG228" i="20" s="1"/>
  <c r="BG97" i="20"/>
  <c r="AP251" i="20"/>
  <c r="AP254" i="20"/>
  <c r="T412" i="20"/>
  <c r="T393" i="20" s="1"/>
  <c r="AM66" i="20"/>
  <c r="AM64" i="20" s="1"/>
  <c r="AO435" i="20"/>
  <c r="Q435" i="20"/>
  <c r="AM439" i="20"/>
  <c r="AM438" i="20" s="1"/>
  <c r="AN435" i="20"/>
  <c r="AP445" i="20"/>
  <c r="AU445" i="20" s="1"/>
  <c r="AL458" i="20"/>
  <c r="AP457" i="20"/>
  <c r="AU457" i="20" s="1"/>
  <c r="T435" i="20"/>
  <c r="S435" i="20"/>
  <c r="AL408" i="20"/>
  <c r="BG408" i="20" s="1"/>
  <c r="AM403" i="20"/>
  <c r="AM402" i="20" s="1"/>
  <c r="AM346" i="20"/>
  <c r="AM345" i="20" s="1"/>
  <c r="AM342" i="20" s="1"/>
  <c r="AQ345" i="20"/>
  <c r="AQ342" i="20" s="1"/>
  <c r="AU306" i="20"/>
  <c r="AP286" i="20"/>
  <c r="AU286" i="20" s="1"/>
  <c r="AM286" i="20"/>
  <c r="AM285" i="20" s="1"/>
  <c r="AM278" i="20"/>
  <c r="AI224" i="20"/>
  <c r="AI223" i="20" s="1"/>
  <c r="AM227" i="20"/>
  <c r="AM226" i="20" s="1"/>
  <c r="AM221" i="20" s="1"/>
  <c r="AU208" i="20"/>
  <c r="AM203" i="20"/>
  <c r="AM202" i="20" s="1"/>
  <c r="AP203" i="20"/>
  <c r="AU203" i="20" s="1"/>
  <c r="BG199" i="20"/>
  <c r="S146" i="20"/>
  <c r="S139" i="20" s="1"/>
  <c r="AL180" i="20"/>
  <c r="BG180" i="20" s="1"/>
  <c r="AQ87" i="20"/>
  <c r="AU174" i="20"/>
  <c r="AP143" i="20"/>
  <c r="AP140" i="20" s="1"/>
  <c r="AL70" i="20"/>
  <c r="AL189" i="20"/>
  <c r="BG189" i="20" s="1"/>
  <c r="AL122" i="20"/>
  <c r="AM452" i="20"/>
  <c r="AM451" i="20" s="1"/>
  <c r="AM449" i="20" s="1"/>
  <c r="AL441" i="20"/>
  <c r="BG441" i="20" s="1"/>
  <c r="BG200" i="20"/>
  <c r="AM119" i="20"/>
  <c r="AM118" i="20" s="1"/>
  <c r="AL71" i="20"/>
  <c r="BG71" i="20" s="1"/>
  <c r="AL409" i="20"/>
  <c r="BG409" i="20" s="1"/>
  <c r="AL406" i="20"/>
  <c r="BG406" i="20" s="1"/>
  <c r="AL233" i="20"/>
  <c r="BG233" i="20" s="1"/>
  <c r="AL157" i="20"/>
  <c r="AL405" i="20"/>
  <c r="BG405" i="20" s="1"/>
  <c r="AL307" i="20"/>
  <c r="AL446" i="20"/>
  <c r="BG210" i="20"/>
  <c r="BG205" i="20"/>
  <c r="AL201" i="20"/>
  <c r="BG201" i="20" s="1"/>
  <c r="AL129" i="20"/>
  <c r="BG129" i="20" s="1"/>
  <c r="BG127" i="20"/>
  <c r="BG130" i="20"/>
  <c r="BG101" i="20"/>
  <c r="BG99" i="20"/>
  <c r="AL309" i="20"/>
  <c r="BG309" i="20" s="1"/>
  <c r="BG182" i="20"/>
  <c r="AL183" i="20"/>
  <c r="BG183" i="20" s="1"/>
  <c r="AL152" i="20"/>
  <c r="BG152" i="20" s="1"/>
  <c r="BG120" i="20"/>
  <c r="BG404" i="20"/>
  <c r="AL442" i="20"/>
  <c r="BG442" i="20" s="1"/>
  <c r="BG411" i="20"/>
  <c r="AL288" i="20"/>
  <c r="BG288" i="20" s="1"/>
  <c r="AL232" i="20"/>
  <c r="BG232" i="20" s="1"/>
  <c r="AL75" i="20"/>
  <c r="BG75" i="20" s="1"/>
  <c r="AL400" i="20"/>
  <c r="AL290" i="20"/>
  <c r="BG73" i="20"/>
  <c r="AL317" i="20"/>
  <c r="AL158" i="20"/>
  <c r="BG158" i="20" s="1"/>
  <c r="AL72" i="20"/>
  <c r="BG72" i="20" s="1"/>
  <c r="AL410" i="20"/>
  <c r="BG410" i="20" s="1"/>
  <c r="AL287" i="20"/>
  <c r="BG287" i="20" s="1"/>
  <c r="AM91" i="20"/>
  <c r="AM90" i="20" s="1"/>
  <c r="AL407" i="20"/>
  <c r="BG407" i="20" s="1"/>
  <c r="BG204" i="20"/>
  <c r="AL184" i="20"/>
  <c r="BG184" i="20" s="1"/>
  <c r="BG126" i="20"/>
  <c r="AL121" i="20"/>
  <c r="BG121" i="20" s="1"/>
  <c r="BG98" i="20"/>
  <c r="AL308" i="20"/>
  <c r="BG308" i="20" s="1"/>
  <c r="BG206" i="20"/>
  <c r="AL190" i="20"/>
  <c r="BG190" i="20" s="1"/>
  <c r="BG181" i="20"/>
  <c r="BG153" i="20"/>
  <c r="AL125" i="20"/>
  <c r="BG125" i="20" s="1"/>
  <c r="AY8" i="20"/>
  <c r="H33" i="20"/>
  <c r="AZ421" i="20"/>
  <c r="BA421" i="20" s="1"/>
  <c r="AT31" i="20"/>
  <c r="AI17" i="20"/>
  <c r="H37" i="20"/>
  <c r="AX11" i="20"/>
  <c r="AV304" i="20"/>
  <c r="AV172" i="20"/>
  <c r="AH419" i="20"/>
  <c r="AH417" i="20" s="1"/>
  <c r="S256" i="20"/>
  <c r="AP403" i="20"/>
  <c r="AV147" i="20"/>
  <c r="AV345" i="20"/>
  <c r="AV225" i="20"/>
  <c r="AV61" i="20"/>
  <c r="AV449" i="20"/>
  <c r="AP346" i="20"/>
  <c r="AU346" i="20" s="1"/>
  <c r="AV436" i="20"/>
  <c r="AP439" i="20"/>
  <c r="AU439" i="20" s="1"/>
  <c r="AV342" i="20"/>
  <c r="AZ19" i="20"/>
  <c r="AZ418" i="20"/>
  <c r="BA418" i="20" s="1"/>
  <c r="AV139" i="20"/>
  <c r="AY17" i="20"/>
  <c r="AN279" i="20" l="1"/>
  <c r="AN278" i="20" s="1"/>
  <c r="AN277" i="20" s="1"/>
  <c r="AU77" i="20"/>
  <c r="AH449" i="20"/>
  <c r="AH435" i="20" s="1"/>
  <c r="AM172" i="20"/>
  <c r="BG280" i="20"/>
  <c r="AU279" i="20"/>
  <c r="BG317" i="20"/>
  <c r="AL314" i="20"/>
  <c r="AU68" i="20"/>
  <c r="AL68" i="20"/>
  <c r="AL67" i="20" s="1"/>
  <c r="AP250" i="20"/>
  <c r="AU250" i="20" s="1"/>
  <c r="S255" i="20"/>
  <c r="S254" i="20" s="1"/>
  <c r="S250" i="20" s="1"/>
  <c r="BG65" i="20"/>
  <c r="AL118" i="20"/>
  <c r="AQ149" i="20"/>
  <c r="AQ146" i="20" s="1"/>
  <c r="BG157" i="20"/>
  <c r="AL156" i="20"/>
  <c r="BG156" i="20" s="1"/>
  <c r="BG150" i="20"/>
  <c r="BG70" i="20"/>
  <c r="AT434" i="20"/>
  <c r="AL88" i="20"/>
  <c r="BG88" i="20" s="1"/>
  <c r="BF12" i="20"/>
  <c r="BG307" i="20"/>
  <c r="AL306" i="20"/>
  <c r="R223" i="20"/>
  <c r="R222" i="20" s="1"/>
  <c r="R221" i="20" s="1"/>
  <c r="AM117" i="20"/>
  <c r="AM116" i="20" s="1"/>
  <c r="BG122" i="20"/>
  <c r="AQ116" i="20"/>
  <c r="AT195" i="20"/>
  <c r="AU198" i="20"/>
  <c r="AM87" i="20"/>
  <c r="AP402" i="20"/>
  <c r="AN393" i="20"/>
  <c r="AQ394" i="20"/>
  <c r="AI222" i="20"/>
  <c r="AI221" i="20" s="1"/>
  <c r="AQ283" i="20"/>
  <c r="AQ282" i="20" s="1"/>
  <c r="AQ277" i="20" s="1"/>
  <c r="AP284" i="20"/>
  <c r="AO393" i="20"/>
  <c r="AI393" i="20"/>
  <c r="R393" i="20"/>
  <c r="Q393" i="20"/>
  <c r="AU251" i="20"/>
  <c r="AM277" i="20"/>
  <c r="AM196" i="20"/>
  <c r="AU191" i="20"/>
  <c r="AT341" i="20"/>
  <c r="BG209" i="20"/>
  <c r="AL208" i="20"/>
  <c r="BG171" i="20"/>
  <c r="BG62" i="20"/>
  <c r="AL445" i="20"/>
  <c r="BG446" i="20"/>
  <c r="AL143" i="20"/>
  <c r="AL140" i="20" s="1"/>
  <c r="BG144" i="20"/>
  <c r="AL399" i="20"/>
  <c r="BG399" i="20" s="1"/>
  <c r="BG400" i="20"/>
  <c r="AL254" i="20"/>
  <c r="BG255" i="20"/>
  <c r="BG327" i="20"/>
  <c r="BG330" i="20"/>
  <c r="AL215" i="20"/>
  <c r="BG215" i="20" s="1"/>
  <c r="BG216" i="20"/>
  <c r="AL191" i="20"/>
  <c r="AL323" i="20"/>
  <c r="BG323" i="20" s="1"/>
  <c r="BG324" i="20"/>
  <c r="AL77" i="20"/>
  <c r="BG77" i="20" s="1"/>
  <c r="BG78" i="20"/>
  <c r="AL283" i="20"/>
  <c r="BG284" i="20"/>
  <c r="BG396" i="20"/>
  <c r="BG291" i="20"/>
  <c r="BG104" i="20"/>
  <c r="AL186" i="20"/>
  <c r="BG186" i="20" s="1"/>
  <c r="BG187" i="20"/>
  <c r="BG90" i="20"/>
  <c r="AL222" i="20"/>
  <c r="BG222" i="20" s="1"/>
  <c r="BG223" i="20"/>
  <c r="AL457" i="20"/>
  <c r="BG458" i="20"/>
  <c r="AL431" i="20"/>
  <c r="BG431" i="20" s="1"/>
  <c r="AI435" i="20"/>
  <c r="AL296" i="20"/>
  <c r="BG296" i="20" s="1"/>
  <c r="BG297" i="20"/>
  <c r="BG422" i="20"/>
  <c r="BG423" i="20"/>
  <c r="AL251" i="20"/>
  <c r="BG252" i="20"/>
  <c r="AM437" i="20"/>
  <c r="AL440" i="20"/>
  <c r="BG440" i="20" s="1"/>
  <c r="AL179" i="20"/>
  <c r="AL188" i="20"/>
  <c r="AU138" i="20"/>
  <c r="AU254" i="20"/>
  <c r="AL198" i="20"/>
  <c r="AL124" i="20"/>
  <c r="AU403" i="20"/>
  <c r="AU222" i="20"/>
  <c r="AM398" i="20"/>
  <c r="AU143" i="20"/>
  <c r="AH412" i="20"/>
  <c r="AH393" i="20" s="1"/>
  <c r="AL61" i="20"/>
  <c r="AL326" i="20"/>
  <c r="AT16" i="20"/>
  <c r="AW16" i="20"/>
  <c r="AX6" i="20" s="1"/>
  <c r="AU65" i="20"/>
  <c r="AU118" i="20"/>
  <c r="AU87" i="20"/>
  <c r="AU90" i="20"/>
  <c r="AP421" i="20"/>
  <c r="AP197" i="20"/>
  <c r="AU197" i="20" s="1"/>
  <c r="AP444" i="20"/>
  <c r="AU444" i="20" s="1"/>
  <c r="AP285" i="20"/>
  <c r="AU285" i="20" s="1"/>
  <c r="AP345" i="20"/>
  <c r="AP342" i="20" s="1"/>
  <c r="AU140" i="20"/>
  <c r="AP305" i="20"/>
  <c r="AP452" i="20"/>
  <c r="AU452" i="20" s="1"/>
  <c r="AP117" i="20"/>
  <c r="AP155" i="20"/>
  <c r="AP313" i="20"/>
  <c r="AP456" i="20"/>
  <c r="AU456" i="20" s="1"/>
  <c r="AP173" i="20"/>
  <c r="AP123" i="20"/>
  <c r="AU123" i="20" s="1"/>
  <c r="AP185" i="20"/>
  <c r="AP202" i="20"/>
  <c r="AU202" i="20" s="1"/>
  <c r="AP226" i="20"/>
  <c r="AP178" i="20"/>
  <c r="AU178" i="20" s="1"/>
  <c r="AP207" i="20"/>
  <c r="AP326" i="20"/>
  <c r="AL439" i="20"/>
  <c r="AP438" i="20"/>
  <c r="AU438" i="20" s="1"/>
  <c r="AM418" i="20"/>
  <c r="AL403" i="20"/>
  <c r="AL286" i="20"/>
  <c r="AM154" i="20"/>
  <c r="AL227" i="20"/>
  <c r="AL203" i="20"/>
  <c r="AU154" i="20"/>
  <c r="AZ9" i="20"/>
  <c r="AU171" i="20"/>
  <c r="AV303" i="20"/>
  <c r="AL454" i="20"/>
  <c r="AL453" i="20" s="1"/>
  <c r="AL346" i="20"/>
  <c r="AX10" i="20"/>
  <c r="AV116" i="20"/>
  <c r="AV250" i="20"/>
  <c r="AV277" i="20"/>
  <c r="AV196" i="20"/>
  <c r="AV221" i="20"/>
  <c r="AV86" i="20"/>
  <c r="AV435" i="20"/>
  <c r="AM436" i="20" l="1"/>
  <c r="AM435" i="20" s="1"/>
  <c r="AU280" i="20"/>
  <c r="AU313" i="20"/>
  <c r="AU173" i="20"/>
  <c r="AP172" i="20"/>
  <c r="AL250" i="20"/>
  <c r="BG250" i="20" s="1"/>
  <c r="AQ139" i="20"/>
  <c r="AU150" i="20"/>
  <c r="AP149" i="20"/>
  <c r="AP146" i="20" s="1"/>
  <c r="AP139" i="20" s="1"/>
  <c r="AM149" i="20"/>
  <c r="AM146" i="20" s="1"/>
  <c r="AM139" i="20" s="1"/>
  <c r="AL87" i="20"/>
  <c r="BG87" i="20" s="1"/>
  <c r="BE8" i="20"/>
  <c r="AP278" i="20"/>
  <c r="AU278" i="20" s="1"/>
  <c r="AT276" i="20"/>
  <c r="AW276" i="20" s="1"/>
  <c r="AW28" i="20" s="1"/>
  <c r="AY7" i="20" s="1"/>
  <c r="AT115" i="20"/>
  <c r="BG395" i="20"/>
  <c r="AL394" i="20"/>
  <c r="BG394" i="20" s="1"/>
  <c r="AP394" i="20"/>
  <c r="AU394" i="20" s="1"/>
  <c r="AU396" i="20"/>
  <c r="AU284" i="20"/>
  <c r="AP283" i="20"/>
  <c r="BG392" i="20"/>
  <c r="AU392" i="20"/>
  <c r="AL103" i="20"/>
  <c r="BG103" i="20" s="1"/>
  <c r="AL155" i="20"/>
  <c r="BG155" i="20" s="1"/>
  <c r="AP116" i="20"/>
  <c r="BG251" i="20"/>
  <c r="AU172" i="20"/>
  <c r="BG434" i="20"/>
  <c r="AU305" i="20"/>
  <c r="AP304" i="20"/>
  <c r="AU304" i="20" s="1"/>
  <c r="AU207" i="20"/>
  <c r="AP196" i="20"/>
  <c r="AU196" i="20" s="1"/>
  <c r="AU226" i="20"/>
  <c r="AP221" i="20"/>
  <c r="AU221" i="20" s="1"/>
  <c r="AU421" i="20"/>
  <c r="AN171" i="20"/>
  <c r="BG191" i="20"/>
  <c r="AL421" i="20"/>
  <c r="AU345" i="20"/>
  <c r="AU276" i="20"/>
  <c r="BG326" i="20"/>
  <c r="AU326" i="20"/>
  <c r="BG276" i="20"/>
  <c r="BG67" i="20"/>
  <c r="BG68" i="20"/>
  <c r="AL207" i="20"/>
  <c r="BG207" i="20" s="1"/>
  <c r="BG208" i="20"/>
  <c r="AL278" i="20"/>
  <c r="BG279" i="20"/>
  <c r="AL285" i="20"/>
  <c r="BG285" i="20" s="1"/>
  <c r="BG286" i="20"/>
  <c r="AL402" i="20"/>
  <c r="BG402" i="20" s="1"/>
  <c r="BG403" i="20"/>
  <c r="BG61" i="20"/>
  <c r="BG64" i="20"/>
  <c r="AL123" i="20"/>
  <c r="BG123" i="20" s="1"/>
  <c r="BG124" i="20"/>
  <c r="AL117" i="20"/>
  <c r="BG118" i="20"/>
  <c r="AL178" i="20"/>
  <c r="BG178" i="20" s="1"/>
  <c r="BG179" i="20"/>
  <c r="AL345" i="20"/>
  <c r="AL342" i="20" s="1"/>
  <c r="BG346" i="20"/>
  <c r="BG454" i="20"/>
  <c r="AL202" i="20"/>
  <c r="BG203" i="20"/>
  <c r="AL226" i="20"/>
  <c r="AL221" i="20" s="1"/>
  <c r="BG227" i="20"/>
  <c r="AL305" i="20"/>
  <c r="AL304" i="20" s="1"/>
  <c r="BG306" i="20"/>
  <c r="AL438" i="20"/>
  <c r="BG439" i="20"/>
  <c r="AL313" i="20"/>
  <c r="BG314" i="20"/>
  <c r="AL197" i="20"/>
  <c r="BG198" i="20"/>
  <c r="AL185" i="20"/>
  <c r="BG185" i="20" s="1"/>
  <c r="BG188" i="20"/>
  <c r="AL456" i="20"/>
  <c r="BG457" i="20"/>
  <c r="AL289" i="20"/>
  <c r="BG289" i="20" s="1"/>
  <c r="BG290" i="20"/>
  <c r="AL282" i="20"/>
  <c r="BG282" i="20" s="1"/>
  <c r="BG283" i="20"/>
  <c r="BG254" i="20"/>
  <c r="AL173" i="20"/>
  <c r="BG174" i="20"/>
  <c r="BG143" i="20"/>
  <c r="AL444" i="20"/>
  <c r="BG445" i="20"/>
  <c r="AU185" i="20"/>
  <c r="AU117" i="20"/>
  <c r="AU67" i="20"/>
  <c r="AU155" i="20"/>
  <c r="AU402" i="20"/>
  <c r="AP398" i="20"/>
  <c r="AU418" i="20"/>
  <c r="AU64" i="20"/>
  <c r="AU61" i="20"/>
  <c r="AM61" i="20"/>
  <c r="AU342" i="20"/>
  <c r="AP443" i="20"/>
  <c r="AP455" i="20"/>
  <c r="AU455" i="20" s="1"/>
  <c r="AP451" i="20"/>
  <c r="AP437" i="20"/>
  <c r="AU437" i="20" s="1"/>
  <c r="AL418" i="20"/>
  <c r="AL154" i="20"/>
  <c r="AL149" i="20" s="1"/>
  <c r="BB221" i="20"/>
  <c r="AU12" i="20" l="1"/>
  <c r="AT138" i="20"/>
  <c r="AU451" i="20"/>
  <c r="AP449" i="20"/>
  <c r="AU449" i="20" s="1"/>
  <c r="AU443" i="20"/>
  <c r="AP436" i="20"/>
  <c r="AU436" i="20" s="1"/>
  <c r="BG313" i="20"/>
  <c r="BG173" i="20"/>
  <c r="AL172" i="20"/>
  <c r="BG172" i="20" s="1"/>
  <c r="AU116" i="20"/>
  <c r="AP282" i="20"/>
  <c r="AU283" i="20"/>
  <c r="AX8" i="20"/>
  <c r="BG341" i="20"/>
  <c r="AU341" i="20"/>
  <c r="AL398" i="20"/>
  <c r="BG398" i="20" s="1"/>
  <c r="BG140" i="20"/>
  <c r="BG197" i="20"/>
  <c r="AL196" i="20"/>
  <c r="BG196" i="20" s="1"/>
  <c r="BG117" i="20"/>
  <c r="AL116" i="20"/>
  <c r="BG116" i="20" s="1"/>
  <c r="BG278" i="20"/>
  <c r="AL277" i="20"/>
  <c r="BG277" i="20" s="1"/>
  <c r="BG421" i="20"/>
  <c r="BG202" i="20"/>
  <c r="BG154" i="20"/>
  <c r="BG418" i="20"/>
  <c r="AL443" i="20"/>
  <c r="BG444" i="20"/>
  <c r="AL455" i="20"/>
  <c r="BG455" i="20" s="1"/>
  <c r="BG456" i="20"/>
  <c r="AL437" i="20"/>
  <c r="BG438" i="20"/>
  <c r="BG304" i="20"/>
  <c r="BG305" i="20"/>
  <c r="BG221" i="20"/>
  <c r="BG226" i="20"/>
  <c r="AL452" i="20"/>
  <c r="BG453" i="20"/>
  <c r="BG342" i="20"/>
  <c r="BG345" i="20"/>
  <c r="AU146" i="20"/>
  <c r="AU149" i="20"/>
  <c r="BG443" i="20" l="1"/>
  <c r="AL436" i="20"/>
  <c r="AU282" i="20"/>
  <c r="AP277" i="20"/>
  <c r="AL451" i="20"/>
  <c r="AL449" i="20" s="1"/>
  <c r="BG452" i="20"/>
  <c r="BG437" i="20"/>
  <c r="AL146" i="20"/>
  <c r="AL139" i="20" s="1"/>
  <c r="BG149" i="20"/>
  <c r="AP435" i="20"/>
  <c r="AU435" i="20" s="1"/>
  <c r="AU277" i="20" l="1"/>
  <c r="BG139" i="20"/>
  <c r="BG146" i="20"/>
  <c r="BG436" i="20"/>
  <c r="BG449" i="20"/>
  <c r="BG451" i="20"/>
  <c r="AU139" i="20"/>
  <c r="AL435" i="20" l="1"/>
  <c r="BG435" i="20" s="1"/>
  <c r="B10" i="6"/>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AU59" i="20" l="1"/>
  <c r="AU395" i="20" l="1"/>
  <c r="AU398" i="20" l="1"/>
  <c r="AU431" i="20"/>
  <c r="AR393" i="20"/>
  <c r="AV393" i="20" l="1"/>
  <c r="BG96" i="20" l="1"/>
  <c r="AU96" i="20"/>
  <c r="O81" i="20" l="1"/>
  <c r="N81" i="20"/>
  <c r="K81" i="20"/>
  <c r="R81" i="20"/>
  <c r="L81" i="20"/>
  <c r="AR80" i="20"/>
  <c r="AR60" i="20" s="1"/>
  <c r="AH80" i="20"/>
  <c r="AH60" i="20" s="1"/>
  <c r="S80" i="20"/>
  <c r="S60" i="20" s="1"/>
  <c r="AD80" i="20"/>
  <c r="AD60" i="20" s="1"/>
  <c r="AF80" i="20"/>
  <c r="AF60" i="20" s="1"/>
  <c r="AG80" i="20"/>
  <c r="AG60" i="20" s="1"/>
  <c r="U80" i="20"/>
  <c r="U60" i="20" s="1"/>
  <c r="X80" i="20"/>
  <c r="X60" i="20" s="1"/>
  <c r="V80" i="20"/>
  <c r="V60" i="20" s="1"/>
  <c r="M81" i="20"/>
  <c r="P81" i="20"/>
  <c r="Q81" i="20"/>
  <c r="AI80" i="20"/>
  <c r="AI60" i="20" s="1"/>
  <c r="AN80" i="20"/>
  <c r="AN60" i="20" s="1"/>
  <c r="AS80" i="20"/>
  <c r="AS60" i="20" s="1"/>
  <c r="AO80" i="20"/>
  <c r="AO60" i="20" s="1"/>
  <c r="T80" i="20"/>
  <c r="T60" i="20" s="1"/>
  <c r="AB80" i="20"/>
  <c r="AB60" i="20" s="1"/>
  <c r="Z80" i="20"/>
  <c r="Z60" i="20" s="1"/>
  <c r="Y80" i="20"/>
  <c r="Y60" i="20" s="1"/>
  <c r="AA80" i="20"/>
  <c r="AA60" i="20" s="1"/>
  <c r="AE80" i="20"/>
  <c r="AE60" i="20" s="1"/>
  <c r="AC80" i="20"/>
  <c r="AC60" i="20" s="1"/>
  <c r="AM80" i="20"/>
  <c r="AM60" i="20" s="1"/>
  <c r="AQ80" i="20"/>
  <c r="AQ60" i="20" s="1"/>
  <c r="AP80" i="20"/>
  <c r="AP60" i="20" s="1"/>
  <c r="AT59" i="20" l="1"/>
  <c r="BG81" i="20"/>
  <c r="AZ6" i="20"/>
  <c r="AL80" i="20"/>
  <c r="AL60" i="20" s="1"/>
  <c r="AU80" i="20"/>
  <c r="AU60" i="20" l="1"/>
  <c r="BG80" i="20"/>
  <c r="BG60" i="20" l="1"/>
  <c r="AP332" i="20"/>
  <c r="AP312" i="20" s="1"/>
  <c r="AU333" i="20" l="1"/>
  <c r="AQ332" i="20"/>
  <c r="AQ312" i="20" s="1"/>
  <c r="AU332" i="20" l="1"/>
  <c r="AT311" i="20"/>
  <c r="AU311" i="20"/>
  <c r="AU312" i="20" l="1"/>
  <c r="BG311" i="20"/>
  <c r="BG333" i="20"/>
  <c r="AL332" i="20"/>
  <c r="Z332" i="20"/>
  <c r="Z312" i="20" s="1"/>
  <c r="Z58" i="20" s="1"/>
  <c r="AD332" i="20"/>
  <c r="AD312" i="20" s="1"/>
  <c r="AD58" i="20" s="1"/>
  <c r="AE332" i="20"/>
  <c r="AE312" i="20" s="1"/>
  <c r="AE58" i="20" s="1"/>
  <c r="T332" i="20"/>
  <c r="T312" i="20" s="1"/>
  <c r="T58" i="20" s="1"/>
  <c r="T55" i="20" s="1"/>
  <c r="AA332" i="20"/>
  <c r="AA312" i="20" s="1"/>
  <c r="AA58" i="20" s="1"/>
  <c r="AF332" i="20"/>
  <c r="AF312" i="20" s="1"/>
  <c r="AF58" i="20" s="1"/>
  <c r="AB332" i="20"/>
  <c r="AB312" i="20" s="1"/>
  <c r="AB58" i="20" s="1"/>
  <c r="AC332" i="20"/>
  <c r="AC312" i="20" s="1"/>
  <c r="AC58" i="20" s="1"/>
  <c r="AO332" i="20"/>
  <c r="AO312" i="20" s="1"/>
  <c r="AO44" i="20" s="1"/>
  <c r="AH332" i="20"/>
  <c r="AH312" i="20" s="1"/>
  <c r="AH58" i="20" s="1"/>
  <c r="AH55" i="20" s="1"/>
  <c r="V332" i="20"/>
  <c r="V312" i="20" s="1"/>
  <c r="V58" i="20" s="1"/>
  <c r="V55" i="20" s="1"/>
  <c r="Y332" i="20"/>
  <c r="Y312" i="20" s="1"/>
  <c r="Y58" i="20" s="1"/>
  <c r="AI332" i="20"/>
  <c r="AI312" i="20" s="1"/>
  <c r="AG332" i="20"/>
  <c r="AG312" i="20" s="1"/>
  <c r="AG58" i="20" s="1"/>
  <c r="S332" i="20"/>
  <c r="S312" i="20" s="1"/>
  <c r="S58" i="20" s="1"/>
  <c r="S55" i="20" s="1"/>
  <c r="AM332" i="20"/>
  <c r="AM312" i="20" s="1"/>
  <c r="X332" i="20"/>
  <c r="X312" i="20" s="1"/>
  <c r="X58" i="20" s="1"/>
  <c r="AN332" i="20"/>
  <c r="AN312" i="20" s="1"/>
  <c r="AN44" i="20" s="1"/>
  <c r="AN43" i="20" s="1"/>
  <c r="AN42" i="20" s="1"/>
  <c r="U332" i="20"/>
  <c r="U312" i="20" s="1"/>
  <c r="U30" i="20" s="1"/>
  <c r="U28" i="20" s="1"/>
  <c r="Z44" i="20" l="1"/>
  <c r="Z43" i="20" s="1"/>
  <c r="Z42" i="20" s="1"/>
  <c r="AF15" i="20"/>
  <c r="AA44" i="20"/>
  <c r="AA43" i="20" s="1"/>
  <c r="AA42" i="20" s="1"/>
  <c r="T30" i="20"/>
  <c r="T28" i="20" s="1"/>
  <c r="AG44" i="20"/>
  <c r="AG43" i="20" s="1"/>
  <c r="AG42" i="20" s="1"/>
  <c r="Y44" i="20"/>
  <c r="Y43" i="20" s="1"/>
  <c r="Y42" i="20" s="1"/>
  <c r="BG332" i="20"/>
  <c r="AL312" i="20"/>
  <c r="BG312" i="20" s="1"/>
  <c r="AN58" i="20"/>
  <c r="AN55" i="20" s="1"/>
  <c r="AB44" i="20"/>
  <c r="AB43" i="20" s="1"/>
  <c r="AB42" i="20" s="1"/>
  <c r="AD44" i="20"/>
  <c r="AD43" i="20" s="1"/>
  <c r="AD42" i="20" s="1"/>
  <c r="AE44" i="20"/>
  <c r="AE43" i="20" s="1"/>
  <c r="AE42" i="20" s="1"/>
  <c r="S30" i="20"/>
  <c r="S28" i="20" s="1"/>
  <c r="AC44" i="20"/>
  <c r="AC43" i="20" s="1"/>
  <c r="AC42" i="20" s="1"/>
  <c r="X30" i="20"/>
  <c r="X28" i="20" s="1"/>
  <c r="AF55" i="20"/>
  <c r="AO58" i="20"/>
  <c r="AO55" i="20" s="1"/>
  <c r="Y55" i="20"/>
  <c r="Y30" i="20"/>
  <c r="Y28" i="20" s="1"/>
  <c r="Z55" i="20"/>
  <c r="AA55" i="20"/>
  <c r="AD55" i="20"/>
  <c r="U58" i="20"/>
  <c r="U55" i="20" s="1"/>
  <c r="X55" i="20"/>
  <c r="AC55" i="20"/>
  <c r="AA30" i="20"/>
  <c r="AA28" i="20" s="1"/>
  <c r="AC30" i="20"/>
  <c r="AE55" i="20"/>
  <c r="AC15" i="20"/>
  <c r="AE30" i="20"/>
  <c r="AE28" i="20" s="1"/>
  <c r="Z30" i="20"/>
  <c r="Z28" i="20" s="1"/>
  <c r="AG55" i="20"/>
  <c r="AV312" i="20"/>
  <c r="AB30" i="20"/>
  <c r="AB28" i="20" s="1"/>
  <c r="X44" i="20"/>
  <c r="X43" i="20" s="1"/>
  <c r="X42" i="20" s="1"/>
  <c r="AF44" i="20"/>
  <c r="AF43" i="20" s="1"/>
  <c r="AF42" i="20" s="1"/>
  <c r="AG15" i="20"/>
  <c r="AB55" i="20"/>
  <c r="V30" i="20"/>
  <c r="AD30" i="20"/>
  <c r="AD28" i="20" s="1"/>
  <c r="AP14" i="20" l="1"/>
  <c r="AB14" i="20"/>
  <c r="AC14" i="20" s="1"/>
  <c r="AE14" i="20" s="1"/>
  <c r="AT35" i="20"/>
  <c r="AT37" i="20"/>
  <c r="AT34" i="20"/>
  <c r="AT39" i="20"/>
  <c r="AT36" i="20"/>
  <c r="AC28" i="20"/>
  <c r="AE26" i="20" s="1"/>
  <c r="AI30" i="20"/>
  <c r="AH30" i="20"/>
  <c r="AV30" i="20"/>
  <c r="V28" i="20"/>
  <c r="AV28" i="20" s="1"/>
  <c r="AH28" i="20"/>
  <c r="AI28" i="20" l="1"/>
  <c r="AT40" i="20"/>
  <c r="AS332" i="20"/>
  <c r="AS15" i="20"/>
  <c r="AR58" i="20"/>
  <c r="AR55" i="20" s="1"/>
  <c r="AR332" i="20"/>
  <c r="AR15" i="20" l="1"/>
  <c r="AR44" i="20"/>
  <c r="AR43" i="20" s="1"/>
  <c r="AR42" i="20" s="1"/>
  <c r="AS44" i="20"/>
  <c r="AS43" i="20" s="1"/>
  <c r="AS42" i="20" s="1"/>
  <c r="AS58" i="20"/>
  <c r="AS55" i="20" s="1"/>
  <c r="AR348" i="20" l="1"/>
  <c r="R44" i="20" l="1"/>
  <c r="Q44" i="20"/>
  <c r="M58" i="20"/>
  <c r="M55" i="20" s="1"/>
  <c r="N44" i="20"/>
  <c r="O44" i="20"/>
  <c r="P30" i="20"/>
  <c r="P28" i="20" s="1"/>
  <c r="K58" i="20"/>
  <c r="K55" i="20" s="1"/>
  <c r="L30" i="20"/>
  <c r="L28" i="20" s="1"/>
  <c r="P58" i="20" l="1"/>
  <c r="P55" i="20" s="1"/>
  <c r="M30" i="20"/>
  <c r="M28" i="20" s="1"/>
  <c r="Q58" i="20"/>
  <c r="Q55" i="20" s="1"/>
  <c r="R58" i="20"/>
  <c r="R55" i="20" s="1"/>
  <c r="M44" i="20"/>
  <c r="P44" i="20"/>
  <c r="L58" i="20"/>
  <c r="L55" i="20" s="1"/>
  <c r="K30" i="20"/>
  <c r="K28" i="20" s="1"/>
  <c r="O30" i="20"/>
  <c r="O28" i="20" s="1"/>
  <c r="N58" i="20"/>
  <c r="N55" i="20" s="1"/>
  <c r="O58" i="20"/>
  <c r="O55" i="20" s="1"/>
  <c r="N30" i="20"/>
  <c r="N28" i="20" s="1"/>
  <c r="AI58" i="20"/>
  <c r="AI55" i="20" s="1"/>
  <c r="AM477" i="20"/>
  <c r="AM463" i="20" s="1"/>
  <c r="AL100" i="20"/>
  <c r="AQ93" i="20"/>
  <c r="AQ86" i="20" s="1"/>
  <c r="AU100" i="20"/>
  <c r="BG100" i="20" l="1"/>
  <c r="AL94" i="20"/>
  <c r="AL93" i="20" s="1"/>
  <c r="AL86" i="20" s="1"/>
  <c r="AU94" i="20"/>
  <c r="AT85" i="20"/>
  <c r="AM100" i="20"/>
  <c r="AP93" i="20"/>
  <c r="AM94" i="20" l="1"/>
  <c r="AM93" i="20" s="1"/>
  <c r="AM86" i="20" s="1"/>
  <c r="BG93" i="20"/>
  <c r="BG94" i="20"/>
  <c r="AU93" i="20"/>
  <c r="AP86" i="20"/>
  <c r="BG86" i="20"/>
  <c r="AU86" i="20" l="1"/>
  <c r="AM419" i="20"/>
  <c r="AM417" i="20" s="1"/>
  <c r="AP419" i="20"/>
  <c r="AL419" i="20" s="1"/>
  <c r="BG419" i="20" l="1"/>
  <c r="AL417" i="20"/>
  <c r="AP417" i="20"/>
  <c r="AU419" i="20"/>
  <c r="AU417" i="20" l="1"/>
  <c r="BG417" i="20"/>
  <c r="AM414" i="20"/>
  <c r="AM413" i="20" s="1"/>
  <c r="AM412" i="20" s="1"/>
  <c r="AM393" i="20" s="1"/>
  <c r="AQ413" i="20"/>
  <c r="AQ412" i="20" s="1"/>
  <c r="AQ393" i="20" s="1"/>
  <c r="AP414" i="20"/>
  <c r="AU414" i="20" s="1"/>
  <c r="AP413" i="20" l="1"/>
  <c r="AU413" i="20" s="1"/>
  <c r="AT392" i="20"/>
  <c r="AQ58" i="20"/>
  <c r="AQ55" i="20" s="1"/>
  <c r="AQ57" i="20" s="1"/>
  <c r="AT55" i="20"/>
  <c r="AQ15" i="20"/>
  <c r="AQ17" i="20" s="1"/>
  <c r="AU17" i="20" s="1"/>
  <c r="AQ44" i="20"/>
  <c r="AM44" i="20"/>
  <c r="AM43" i="20" s="1"/>
  <c r="AM42" i="20" s="1"/>
  <c r="AM58" i="20"/>
  <c r="AM55" i="20" s="1"/>
  <c r="AL414" i="20"/>
  <c r="AP412" i="20" l="1"/>
  <c r="BG414" i="20"/>
  <c r="AL413" i="20"/>
  <c r="AM57" i="20"/>
  <c r="AL57" i="20" s="1"/>
  <c r="BG57" i="20" s="1"/>
  <c r="AP57" i="20"/>
  <c r="AU57" i="20" s="1"/>
  <c r="BH12" i="20"/>
  <c r="BI44" i="20"/>
  <c r="AQ43" i="20"/>
  <c r="AP393" i="20" l="1"/>
  <c r="AU412" i="20"/>
  <c r="BG413" i="20"/>
  <c r="AL412" i="20"/>
  <c r="AQ42" i="20"/>
  <c r="BE46" i="20" s="1"/>
  <c r="BD6" i="20"/>
  <c r="BD8" i="20" s="1"/>
  <c r="BD9" i="20" s="1"/>
  <c r="AU6" i="20"/>
  <c r="AP44" i="20" l="1"/>
  <c r="AU393" i="20"/>
  <c r="AP15" i="20"/>
  <c r="AU15" i="20" s="1"/>
  <c r="AP58" i="20"/>
  <c r="AL393" i="20"/>
  <c r="BG412" i="20"/>
  <c r="AP55" i="20" l="1"/>
  <c r="AU55" i="20" s="1"/>
  <c r="AU58" i="20"/>
  <c r="BD44" i="20"/>
  <c r="AP43" i="20"/>
  <c r="AU44" i="20"/>
  <c r="AL58" i="20"/>
  <c r="BG393" i="20"/>
  <c r="AL44" i="20"/>
  <c r="AU43" i="20" l="1"/>
  <c r="AP42" i="20"/>
  <c r="AU42" i="20" s="1"/>
  <c r="BG58" i="20"/>
  <c r="AL55" i="20"/>
  <c r="BG55" i="20" s="1"/>
  <c r="BG44" i="20"/>
  <c r="AL43" i="20"/>
  <c r="AL42" i="20" l="1"/>
  <c r="BG42" i="20" s="1"/>
  <c r="BG43" i="20"/>
</calcChain>
</file>

<file path=xl/sharedStrings.xml><?xml version="1.0" encoding="utf-8"?>
<sst xmlns="http://schemas.openxmlformats.org/spreadsheetml/2006/main" count="2804" uniqueCount="1098">
  <si>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</si>
  <si>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</si>
  <si>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</si>
  <si>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</si>
  <si>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</si>
  <si>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</si>
  <si>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</si>
  <si>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</si>
  <si>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</si>
  <si>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</si>
  <si>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</si>
  <si>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</si>
  <si>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</si>
  <si>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</si>
  <si>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</si>
  <si>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</si>
  <si>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</si>
  <si>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</si>
  <si>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</si>
  <si>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</si>
  <si>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</si>
  <si>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</si>
  <si>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</si>
  <si>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</si>
  <si>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</si>
  <si>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</si>
  <si>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</si>
  <si>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</si>
  <si>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</si>
  <si>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</si>
  <si>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</si>
  <si>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</si>
  <si>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</si>
  <si>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</si>
  <si>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</si>
  <si>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</si>
  <si>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</si>
  <si>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</si>
  <si>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</si>
  <si>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</si>
  <si>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</si>
  <si>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</si>
  <si>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</si>
  <si>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</si>
  <si>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</si>
  <si>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</si>
  <si>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</si>
  <si>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</si>
  <si>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</si>
  <si>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</si>
  <si>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</si>
  <si>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</si>
  <si>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</si>
  <si>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</si>
  <si>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</si>
  <si>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</si>
  <si>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</si>
  <si>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</si>
  <si>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</si>
  <si>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</si>
  <si>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</si>
  <si>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</si>
  <si>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</si>
  <si>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</si>
  <si>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</si>
  <si>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</si>
  <si>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</si>
  <si>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</si>
  <si>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</si>
  <si>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</si>
  <si>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</si>
  <si>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</si>
  <si>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</si>
  <si>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</si>
  <si>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</si>
  <si>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</si>
  <si>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</si>
  <si>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</si>
  <si>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</si>
  <si>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</si>
  <si>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</si>
  <si>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</si>
  <si>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</si>
  <si>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</si>
  <si>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</si>
  <si>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</si>
  <si>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</si>
  <si>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</si>
  <si>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</si>
  <si>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</si>
  <si>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</si>
  <si>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</si>
  <si>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</si>
  <si>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</si>
  <si>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</si>
  <si>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</si>
  <si>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</si>
  <si>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</si>
  <si>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</si>
  <si>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</si>
  <si>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</si>
  <si>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</si>
  <si>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</si>
  <si>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</si>
  <si>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</si>
  <si>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</si>
  <si>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</si>
  <si>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</si>
  <si>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</si>
  <si>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</si>
  <si>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</si>
  <si>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</si>
  <si>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</si>
  <si>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</si>
  <si>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</si>
  <si>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</si>
  <si>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</si>
  <si>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</si>
  <si>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</si>
  <si>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</si>
  <si>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</si>
  <si>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</si>
  <si>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</si>
  <si>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</si>
  <si>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</si>
  <si>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</si>
  <si>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</si>
  <si>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</si>
  <si>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</si>
  <si>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</si>
  <si>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</si>
  <si>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</si>
  <si>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</si>
  <si>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</si>
  <si>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</si>
  <si>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</si>
  <si>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</si>
  <si>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</si>
  <si>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</si>
  <si>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</si>
  <si>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</si>
  <si>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</si>
  <si>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</si>
  <si>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</si>
  <si>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</si>
  <si>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</si>
  <si>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</si>
  <si>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</si>
  <si>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</si>
  <si>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</si>
  <si>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</si>
  <si>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</si>
  <si>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</si>
  <si>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</si>
  <si>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</si>
  <si>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</si>
  <si>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</si>
  <si>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</si>
  <si>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</si>
  <si>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</si>
  <si>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</si>
  <si>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</si>
  <si>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</si>
  <si>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</si>
  <si>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</si>
  <si>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</si>
  <si>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</si>
  <si>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</si>
  <si>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</si>
  <si>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</si>
  <si>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</si>
  <si>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</si>
  <si>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</si>
  <si>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</si>
  <si>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</si>
  <si>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</si>
  <si>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</si>
  <si>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</si>
  <si>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</si>
  <si>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</si>
  <si>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</si>
  <si>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</si>
  <si>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</si>
  <si>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</si>
  <si>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</si>
  <si>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</si>
  <si>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</si>
  <si>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</si>
  <si>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</si>
  <si>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</si>
  <si>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</si>
  <si>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</si>
  <si>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</si>
  <si>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</si>
  <si>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</si>
  <si>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</si>
  <si>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</si>
  <si>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</si>
  <si>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</si>
  <si>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</si>
  <si>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</si>
  <si>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</si>
  <si>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</si>
  <si>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</si>
  <si>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</si>
  <si>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</si>
  <si>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</si>
  <si>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</si>
  <si>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</si>
  <si>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</si>
  <si>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</si>
  <si>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</si>
  <si>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</si>
  <si>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</si>
  <si>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</si>
  <si>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</si>
  <si>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</si>
  <si>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</si>
  <si>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</si>
  <si>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</si>
  <si>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</si>
  <si>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</si>
  <si>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</si>
  <si>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</si>
  <si>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</si>
  <si>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</si>
  <si>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</si>
  <si>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</si>
  <si>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</si>
  <si>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</si>
  <si>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</si>
  <si>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</si>
  <si>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</si>
  <si>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</si>
  <si>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</si>
  <si>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</si>
  <si>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</si>
  <si>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</si>
  <si>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</si>
  <si>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</si>
  <si>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</si>
  <si>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</si>
  <si>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</si>
  <si>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</si>
  <si>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</si>
  <si>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</si>
  <si>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</si>
  <si>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</si>
  <si>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</si>
  <si>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</si>
  <si>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</si>
  <si>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</si>
  <si>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</si>
  <si>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</si>
  <si>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</si>
  <si>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</si>
  <si>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</si>
  <si>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</si>
  <si>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</si>
  <si>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</si>
  <si>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</si>
  <si>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</si>
  <si>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</si>
  <si>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</si>
  <si>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</si>
  <si>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</si>
  <si>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</si>
  <si>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</si>
  <si>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</si>
  <si>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</si>
  <si>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</si>
  <si>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</si>
  <si>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</si>
  <si>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</si>
  <si>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</si>
  <si>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</si>
  <si>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</si>
  <si>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Biểu mẫu số 35</t>
  </si>
  <si>
    <t>Số quyết định; ngày, tháng, năm ban hành</t>
  </si>
  <si>
    <t>(3)</t>
  </si>
  <si>
    <t>(4)</t>
  </si>
  <si>
    <t>a)</t>
  </si>
  <si>
    <t>b)</t>
  </si>
  <si>
    <t>Tỉnh Điện Biên</t>
  </si>
  <si>
    <t>Kế hoạch trung hạn đã giao đến hết năm 2017</t>
  </si>
  <si>
    <t>Nhu cầu kế hoạch năm 2018</t>
  </si>
  <si>
    <t>Các dự án hoàn thành, bàn giao, đưa vào sử dụng đến ngày 31/12 năm 2017</t>
  </si>
  <si>
    <t>Các dự án dự kiến hoàn thành năm 2018</t>
  </si>
  <si>
    <t>Các dự án chuyển tiếp hoàn thành sau năm 2018</t>
  </si>
  <si>
    <t>Các dự án khởi công mới năm 2018</t>
  </si>
  <si>
    <t>Quyết định đầu tư ban đầu hoặc QĐ đầu tư điều chỉnh đã được cấp thẩm quyền phê duyệt</t>
  </si>
  <si>
    <t xml:space="preserve">Lũy kế số vốn đã bố trí từ khởi công đến hết năm 2015 </t>
  </si>
  <si>
    <t>Lũy kế giải ngân từ khởi công đến hết ngày 31/12/2015</t>
  </si>
  <si>
    <t>Lũy kế vốn đã bố trí đến 31/12/2016</t>
  </si>
  <si>
    <t>Dự kiến kế hoạch trung hạn
 giai đoạn 2016-2020</t>
  </si>
  <si>
    <t xml:space="preserve">Kế hoạch năm 2016 đã được cấp có thẩm quyền quyết định </t>
  </si>
  <si>
    <t>2016-2020</t>
  </si>
  <si>
    <t>Khối lượng</t>
  </si>
  <si>
    <t xml:space="preserve">Trong đó: NSĐP </t>
  </si>
  <si>
    <t>Thu hồi các khoản ứng trước NSĐP</t>
  </si>
  <si>
    <t>Thanh toán nợ XDCB</t>
  </si>
  <si>
    <t>Đối ứng ODA</t>
  </si>
  <si>
    <t xml:space="preserve"> Tổng nguồn</t>
  </si>
  <si>
    <t>A1</t>
  </si>
  <si>
    <t>Nguồn vốn được phân bổ</t>
  </si>
  <si>
    <t>1)</t>
  </si>
  <si>
    <t xml:space="preserve">Vốn hỗ trợ CĐNSĐP theo tiêu chí </t>
  </si>
  <si>
    <t xml:space="preserve"> - Vốn theo tiêu chí 40/QĐ-CP</t>
  </si>
  <si>
    <t xml:space="preserve"> - Chênh lệch bội thu NSĐP so với số thực chi trả</t>
  </si>
  <si>
    <t>2)</t>
  </si>
  <si>
    <t xml:space="preserve"> Vốn từ nguồn thu sử dụng đất</t>
  </si>
  <si>
    <t>3)</t>
  </si>
  <si>
    <t xml:space="preserve"> Vốn Xổ số kiến thiết</t>
  </si>
  <si>
    <t>A2</t>
  </si>
  <si>
    <t>Nguồn vốn không phân bổ thực hiện dự án (bố trí để trả nợ vay, lãi vay)</t>
  </si>
  <si>
    <t xml:space="preserve"> </t>
  </si>
  <si>
    <t>Chi tiết ở phần cuối Biểu</t>
  </si>
  <si>
    <t xml:space="preserve"> Bội thu ngân sách địa phương</t>
  </si>
  <si>
    <t>Chính phủ cho vay để trả nợ gốc</t>
  </si>
  <si>
    <t>Chênh lệch bội thu NSĐP so với số thực chi trả</t>
  </si>
  <si>
    <t>Phân bổ thực hiện theo địa bàn</t>
  </si>
  <si>
    <t>Trong đó: Chi cho Giáo dục 20%</t>
  </si>
  <si>
    <t>B1</t>
  </si>
  <si>
    <t>Nguồn vốn theo tiếu chí 40/2015/QĐ-TTg + Nguồn thu sử dụng đất</t>
  </si>
  <si>
    <t>Dự án chuyển tiếp từ giai đoạn 2011-2015 sang giai đoạn 2016-2020</t>
  </si>
  <si>
    <t>Dự án hoàn thành và bàn giao đưa vào sử dụng trước năm 2015</t>
  </si>
  <si>
    <t>Dự án chuyển tiếp sang giai đoạn 2016-2020</t>
  </si>
  <si>
    <t>Dự án khởi công mới trong giai đoạn 2016-2020</t>
  </si>
  <si>
    <t xml:space="preserve"> Đối ứng các dự án ODA</t>
  </si>
  <si>
    <t xml:space="preserve"> Trả nợ Ngân hàng PT
 (tín dụng NN)</t>
  </si>
  <si>
    <t xml:space="preserve"> Hỗ trợ Dự án trọng điểm </t>
  </si>
  <si>
    <t>Vốn theo tiêu chí phân bổ</t>
  </si>
  <si>
    <t xml:space="preserve">Thành phố Điện Biên Phủ </t>
  </si>
  <si>
    <t>ĐBP</t>
  </si>
  <si>
    <t>Hết nhu cầu</t>
  </si>
  <si>
    <t xml:space="preserve"> Đường Nội thị phường Nam Thanh- TP ĐBP </t>
  </si>
  <si>
    <t>831, ngày 18/10/2013</t>
  </si>
  <si>
    <t>Thanh toán dứt điểm</t>
  </si>
  <si>
    <t xml:space="preserve"> Hạ tầng khu du lịch Him Lam GĐ II</t>
  </si>
  <si>
    <t>KH2017 bổ sung KD năm 2016 là 6 tỷ</t>
  </si>
  <si>
    <t>Công trình Cải tạo, xử lý triệt để ô nhiễm bãi chôn lấp rác thải Noong Bua, thành phố Điện Biên Phủ</t>
  </si>
  <si>
    <t xml:space="preserve">316/QĐ-UBND 
18/3/2016 </t>
  </si>
  <si>
    <t>Nhà lớp học năng khiếu + cải tạo, sửa chữa Nhà thiếu nhi tỉnh Điện Biên</t>
  </si>
  <si>
    <t>Xây dựng trường Mầm non Hoa Hồng</t>
  </si>
  <si>
    <t>1271/QĐ-UBND
14/10/2016</t>
  </si>
  <si>
    <t>Xây dựng trường Mầm non Hoa Mai</t>
  </si>
  <si>
    <t>1272/QĐ-UBND
14/10/2016</t>
  </si>
  <si>
    <t xml:space="preserve">Đường tổ dân phố 21, phường Him Lam (L=997,05m) </t>
  </si>
  <si>
    <t>1397/QĐ-UBND
28/10/2016</t>
  </si>
  <si>
    <t>Đường nội thị phường Thanh Bình (L=359m)</t>
  </si>
  <si>
    <t>1341/QĐ-UBND
28/10/2016</t>
  </si>
  <si>
    <t>Đầu tư bổ sung CSVC trung tâm KTTH-HN tỉnh</t>
  </si>
  <si>
    <t>876/QĐ-UBND  06/7/2016</t>
  </si>
  <si>
    <t>Đường vào Trường Dạy nghề tỉnh Điện Biên</t>
  </si>
  <si>
    <t>Cầu dầm BTCT L=33 m bản Ta Pô</t>
  </si>
  <si>
    <t>Thủy lợi tổ dân phố 9, phường Thanh Trường</t>
  </si>
  <si>
    <t>Hạ tầng kỹ thuật khung khu trụ sở cơ quan, khu công cộng, khu thương mại dịch vụ dọc trục đường 60m</t>
  </si>
  <si>
    <t>2018-2022</t>
  </si>
  <si>
    <t>Xây dựng trường mầm non Nam Thanh</t>
  </si>
  <si>
    <t>ĐB</t>
  </si>
  <si>
    <t>Huyện Điện Biên</t>
  </si>
  <si>
    <t>Điện Biên</t>
  </si>
  <si>
    <t xml:space="preserve"> Đường vào khu du lịch, tưởng niệm tri ân những người có công với đất nước, với dân tộc tỉnh Điện Biên </t>
  </si>
  <si>
    <t>836/QĐ-UBND 30/10/2014</t>
  </si>
  <si>
    <t>Kè chống sạt lở khu dân cư trung tâm xã Thanh Luông, xã Thanh Luông, huyện Điện Biên</t>
  </si>
  <si>
    <t>550/QĐ-UBND ngày 14/6/2011</t>
  </si>
  <si>
    <t xml:space="preserve"> Đường Tây Trang-Bản Pa Thơm</t>
  </si>
  <si>
    <t>29km</t>
  </si>
  <si>
    <t xml:space="preserve"> 15-19</t>
  </si>
  <si>
    <t xml:space="preserve"> 837-30/10/2014</t>
  </si>
  <si>
    <t>Trung tâm Hội Nghị huyện ĐB</t>
  </si>
  <si>
    <t>370 ngày 7/5/2012</t>
  </si>
  <si>
    <t xml:space="preserve">Thủy lợi xã Thanh Nưa </t>
  </si>
  <si>
    <t>40 ha</t>
  </si>
  <si>
    <t>1375/QĐ-UBND 28/10/2016</t>
  </si>
  <si>
    <t>Đường QL279 - Trại 2, xã Thanh Xương, huyện Điện Biên</t>
  </si>
  <si>
    <t>1170/QĐ-UBND 20/09/2016</t>
  </si>
  <si>
    <t>Trụ sở xã Thanh xương</t>
  </si>
  <si>
    <t>1251/QĐ-UBND
10/10/2016</t>
  </si>
  <si>
    <t>Đường QL279 - đi bản Nà Pen 1,2,3 xã Nà Nhạn, huyện Điện Biên</t>
  </si>
  <si>
    <t>Thủy lợi Nà Láo xã Nà Tấu</t>
  </si>
  <si>
    <t>2018-2020</t>
  </si>
  <si>
    <t>193/QĐ-UBND; 17/02/2016</t>
  </si>
  <si>
    <t>Bố trí sắp xếp ổn định dân TĐC hồ Nậm Khẩu Hu, xã Hua Thanh, huyện Điện Biên</t>
  </si>
  <si>
    <t>1326/QĐ-UB
27/10/2016</t>
  </si>
  <si>
    <t xml:space="preserve"> - Lồng ghép vốn đóng góp của DN 9 tỷ </t>
  </si>
  <si>
    <t xml:space="preserve"> Nâng cấp đường vào điểm du lịch tâm linh Linh Sơn xã Thanh Luông, huyện Điện Biên.</t>
  </si>
  <si>
    <t>1261/QĐ-UBND 12/10/2016</t>
  </si>
  <si>
    <t xml:space="preserve">Chuẩn bị đầu tư </t>
  </si>
  <si>
    <t>PKĐKKV Mường Nhà</t>
  </si>
  <si>
    <t>1343/QĐ-UBND 28/10/2016</t>
  </si>
  <si>
    <t>Nước sinh hoạt tập trung khu vực Pom Lót huyện Điện Biên</t>
  </si>
  <si>
    <t>Trụ sở xã Thanh Nưa</t>
  </si>
  <si>
    <t xml:space="preserve"> Đường nội thị huyện Điện Biên (GĐII)</t>
  </si>
  <si>
    <t>Thủy lợi Na Men xã Mường Nhà  huyện Điện Biên</t>
  </si>
  <si>
    <t>2019-2021</t>
  </si>
  <si>
    <t xml:space="preserve">Xây dựng trụ sở UBND xã Sam Mứn   </t>
  </si>
  <si>
    <t>Huyện Tuần Giáo</t>
  </si>
  <si>
    <t>Tuần Giáo</t>
  </si>
  <si>
    <t>Dự án bố trí dân cư vùng có nguy cơ sạt lở, lũ quét, đặc biệt khó khăn bản Hua Mức 1, Hua Mức 2, Pu Si 2 đến định cư tại bản Hua Mức 2, xã Mường Mùn, huyện Tuần Giáo</t>
  </si>
  <si>
    <t>H.TG</t>
  </si>
  <si>
    <t>106 hộ</t>
  </si>
  <si>
    <t>2011-2015</t>
  </si>
  <si>
    <t>484/QĐ-UBND 
 24/5/2011; 310/QĐ-UBND 
 20/4/2015</t>
  </si>
  <si>
    <t xml:space="preserve"> Truờng Mầm non xã Mường Thín, huyện Tuần Giáo</t>
  </si>
  <si>
    <t>178A ngày
30/10/2012</t>
  </si>
  <si>
    <t>Trụ sở xã chiềng sinh huyện Tuần Giáo</t>
  </si>
  <si>
    <t>Trường THCS và THPT Quài Tở</t>
  </si>
  <si>
    <t>1322/QĐ-UBND
27/10/2016</t>
  </si>
  <si>
    <t>Trường THCS xã Chiềng Đông huyện Tuần Giáo</t>
  </si>
  <si>
    <t>1493/QĐ-UB
29/11/2016</t>
  </si>
  <si>
    <t>P</t>
  </si>
  <si>
    <t>Sửa chữa đường Mường Khong - Bản Huổi Nôm</t>
  </si>
  <si>
    <t xml:space="preserve"> Trụ sở  xã Tỏa Tình huyện Tuần Giáo</t>
  </si>
  <si>
    <t>326/QĐ-UBND
14/04/2017</t>
  </si>
  <si>
    <t>Trụ sở xã Ta Ma huyện Tuần Giáo</t>
  </si>
  <si>
    <t>1455/QĐ-UBND 17/11/2016</t>
  </si>
  <si>
    <t>Trụ sở xã Phình Sáng huyện Tuần Giáo</t>
  </si>
  <si>
    <t>1457/QĐ-UBND 17/11/2016</t>
  </si>
  <si>
    <t xml:space="preserve"> Trụ sở xã Tênh Phông huyện Tuần Giáo</t>
  </si>
  <si>
    <t>1456/QĐ-UBND 17/11/2016</t>
  </si>
  <si>
    <t>Nâng cấp công trình Thủy lợi Nà Chua</t>
  </si>
  <si>
    <t>Trường THCS xã Quài Cang huyện Tuần Giáo</t>
  </si>
  <si>
    <t>Trường Mầm non thị trấn Tuần Giáo</t>
  </si>
  <si>
    <t>Trường MN Mùn Chung xã Mùn Chung</t>
  </si>
  <si>
    <t>Đường Trung tâm xã Rạng Đông – Bản Háng Á</t>
  </si>
  <si>
    <t>5km</t>
  </si>
  <si>
    <t xml:space="preserve">Huyện Điện Biên Đông </t>
  </si>
  <si>
    <t>Điện Biên
 Đông</t>
  </si>
  <si>
    <t>Đường Nậm Ngám- Pu Nhi A,B,C,D xã Pu Nhi đến bản Sư Lư 1,2,3,4,5 xã Na Son</t>
  </si>
  <si>
    <t>344, ngày 19/4/2011</t>
  </si>
  <si>
    <t xml:space="preserve"> Dự án khởi công mới năm 2017</t>
  </si>
  <si>
    <t>Trụ sở QLTT số 7 huyện Điện Biên Đông</t>
  </si>
  <si>
    <t>1369/QĐ-UBND
28/10/2016</t>
  </si>
  <si>
    <t xml:space="preserve">KH2018 bố trí dứt điểm </t>
  </si>
  <si>
    <t>Các hạng mục phụ trợ trụ sở xã Mường Luân, Luân Giói, Chiềng Sơ, Háng Lìa, Phì Nhừ huyện Điện Biên đông</t>
  </si>
  <si>
    <t>1250/QĐ-UBND
10/10/2016</t>
  </si>
  <si>
    <t>Xây dựng trường Mầm non Pu Nhi xã Pu Nhi</t>
  </si>
  <si>
    <t>1220/QĐ-UBND
30/9/2016</t>
  </si>
  <si>
    <t>Trụ sở thị trấn huyện Điện Biên Đông</t>
  </si>
  <si>
    <t>1365/QĐ-UBND
28/10/2016</t>
  </si>
  <si>
    <t>Trụ sở Hạt Kiểm lâm huyện Điện Biên Đông</t>
  </si>
  <si>
    <t>ĐBĐ</t>
  </si>
  <si>
    <t>Phương án bố trí dân cư vùng có nguy cơ sạt lở, lũ quét, ĐBKK các bản Suối Lư I, Suối Lư II, Suối Lư III, đến định cư tại khu vực Huổi Po, xã Keo Lôm, huyện Điện Biên Đông</t>
  </si>
  <si>
    <t>H.ĐBĐ</t>
  </si>
  <si>
    <t>74 hộ</t>
  </si>
  <si>
    <t>2015-2018</t>
  </si>
  <si>
    <t>151/QĐ-UBND 14/02/2015</t>
  </si>
  <si>
    <t>Dự án được duyệt 2015, do di chuyển địa điểm đầu tư nên chưa khởi công năm 2016 (lồng ghép vốn NSTW)</t>
  </si>
  <si>
    <t xml:space="preserve"> Đường Pá Pao - Mường Luân xã Mường Luân</t>
  </si>
  <si>
    <t>Nâng cấp sửa chữa đường nội thị, thảm bê tông nhựa hạt trung một số trục đường nội thị thị trấn Điện Biên Đông</t>
  </si>
  <si>
    <t>Đường Mường Luân - Co Kham - Na Hát - Páo Sinh</t>
  </si>
  <si>
    <t>Trường Tiểu học Chiềng Sơ</t>
  </si>
  <si>
    <t>Trường Mầm non Háng Lìa</t>
  </si>
  <si>
    <t>Tôn tạo sân vận động thị trấn Điện Biên Đông</t>
  </si>
  <si>
    <t>TMĐT 5 tỷ đồng, GĐ 2016-2020 bố trí 3 tỷ, năm 2021 bố trí 2 tỷ)</t>
  </si>
  <si>
    <t>Trạm y tế Phì Nhừ</t>
  </si>
  <si>
    <t>Trạm y tế thị trấn huyện Điện Biên Đông</t>
  </si>
  <si>
    <t>Nâng cấp đường vào xã Noong U</t>
  </si>
  <si>
    <t>Huyện Mường Ảng</t>
  </si>
  <si>
    <t>Mường Ẳng</t>
  </si>
  <si>
    <t xml:space="preserve"> Đường nội thị giai đoạn I (Đoạn QL 279 đi trung tâm hành chính huyện)</t>
  </si>
  <si>
    <t>891/QĐ-UBND
21/7/2010</t>
  </si>
  <si>
    <t>Công trình hoàn thành năm 2015, bổ sung hạng mục do còn dư vốn dự phòng</t>
  </si>
  <si>
    <t>Trường THCS Mường Lạn</t>
  </si>
  <si>
    <t xml:space="preserve"> 925/QĐ-UBND; 29/9/2015</t>
  </si>
  <si>
    <t>Hồ chứa nước Ẳng Cang (Dự án Nhóm B)</t>
  </si>
  <si>
    <t xml:space="preserve"> 400ha lúa, 1000 ha cà phê, NSH 10.000 dân</t>
  </si>
  <si>
    <t xml:space="preserve"> 2009-2015</t>
  </si>
  <si>
    <t>1487QĐ-UB
17/03/2011
06/12//2007
'249/QĐ-UB</t>
  </si>
  <si>
    <t>CĐNSĐP tỉnh hỗ trợ 60 tỷ</t>
  </si>
  <si>
    <t>Trụ sở làm việc Ban quản lý dự án huyện Mường Ảng</t>
  </si>
  <si>
    <t>1180/QĐ-UBND
21/9/2016</t>
  </si>
  <si>
    <t>Trụ sở liên cơ trạm bảo vệ thực vật, trạm thú y, hạt kiểm lâm huyện Mường Ảng</t>
  </si>
  <si>
    <t>1383/QĐ-UBND
28/10/2016</t>
  </si>
  <si>
    <t>Trụ sở QLTT số 8 huyện MườngẢng</t>
  </si>
  <si>
    <t>1370/QĐ-UBND
28/10/2016</t>
  </si>
  <si>
    <t>Trường Mầm non Sơn Ca huyện Mường Ảng</t>
  </si>
  <si>
    <t>1346/QĐ-UBND
28/10/2016</t>
  </si>
  <si>
    <t>Trường Mầm non Ảng Nưa, xã Ảng Nưa, huyện Mường Ảng</t>
  </si>
  <si>
    <t>1316/QĐ-UBND
27/10/2016</t>
  </si>
  <si>
    <t>Đường tránh lũ bản Chiềng Lao - Pha Hún, xã Xuân Lao</t>
  </si>
  <si>
    <t>1342/QĐ-UBND 28/10/2016</t>
  </si>
  <si>
    <t>1315/QĐ-UBND 27/10/2016</t>
  </si>
  <si>
    <t xml:space="preserve"> Đường + Ngầm tràn bản Pá Nậm, xã Mường Lạn</t>
  </si>
  <si>
    <t>Huyện Mường Nhé</t>
  </si>
  <si>
    <t>Mường Nhé</t>
  </si>
  <si>
    <t>Nậm Pồ</t>
  </si>
  <si>
    <t>Đường Nà Khoa-Na Cô Sa</t>
  </si>
  <si>
    <t xml:space="preserve"> 504/QĐ-UBND 19/7/2013</t>
  </si>
  <si>
    <t xml:space="preserve"> Đường Sen Thượng - Lò San Chái</t>
  </si>
  <si>
    <t>2128/QĐ-UB
3/12/2009</t>
  </si>
  <si>
    <t xml:space="preserve"> Thủy lợi Pờ Nhù Khò</t>
  </si>
  <si>
    <t>1338/QĐ-UB
2/1/2010</t>
  </si>
  <si>
    <t>Cầu treo bản Mường Nhé, xã Mường Nhé</t>
  </si>
  <si>
    <t> 921/QĐ-UBND
21/07/2016</t>
  </si>
  <si>
    <t>Sân vận động huyện Mường Nhé, tỉnh Điện Biên</t>
  </si>
  <si>
    <t>1396/QĐ-UBND 28/10/2016</t>
  </si>
  <si>
    <t xml:space="preserve">Trường dân tộc nội trú THCS Sín Thầu </t>
  </si>
  <si>
    <t>993/QĐ-UB 01/8/2016</t>
  </si>
  <si>
    <t>Trường THCS Chung Chải - Mường Nhé</t>
  </si>
  <si>
    <t>1164/QĐ-UBND 19/9/2016</t>
  </si>
  <si>
    <t>Trụ sở xã Leng Su Sìn</t>
  </si>
  <si>
    <t xml:space="preserve">1082/QĐ-UBND 26/8/2016 </t>
  </si>
  <si>
    <t>Trụ sở xã Nậm Kè</t>
  </si>
  <si>
    <t>Chợ cửa khẩu  A pa Chải</t>
  </si>
  <si>
    <t>Đường Ngã Ba - Huổi Pinh xã Mường Toong, huyện Mường Nhé</t>
  </si>
  <si>
    <t xml:space="preserve"> 887/QĐ-UBND ngày 11/07/2016</t>
  </si>
  <si>
    <t>1348/QĐ-UBND ngày 28/10/2016</t>
  </si>
  <si>
    <t>Trụ sở xã Huổi Lếch</t>
  </si>
  <si>
    <t>Trường THCS xã Huổi Lếch</t>
  </si>
  <si>
    <t>Nhà Đa năng và các hạng mục phụ trợ trường THPT huyện Mường Nhé</t>
  </si>
  <si>
    <t>Trường bán trú THCS Mường Nhé</t>
  </si>
  <si>
    <t xml:space="preserve">Huyện Mường Chà </t>
  </si>
  <si>
    <t>Mường Chà</t>
  </si>
  <si>
    <t xml:space="preserve"> Đường Hừa Ngài - Pa Ham</t>
  </si>
  <si>
    <t>989, ngày 31/10/2012</t>
  </si>
  <si>
    <t>1446/QĐ-UBND
23/12/2015</t>
  </si>
  <si>
    <t xml:space="preserve">Xây dựng cơ sở hạ tầng khu A thị trấn Mường Chà </t>
  </si>
  <si>
    <t>1338/QĐ-UBND
28/10/2016</t>
  </si>
  <si>
    <t>Nâng cấp đường giao thông QL 12 - bản Huổi Meo</t>
  </si>
  <si>
    <t>1035/QĐ-UBND
10/8/2016</t>
  </si>
  <si>
    <t>Nâng cấp trường Mầm non Sá Tổng, xã Sá Tổng</t>
  </si>
  <si>
    <t>1344/QĐ-UBND
 28/10/2016</t>
  </si>
  <si>
    <t>Trường Tiểu học Huổi Mí xã Huổi Mí</t>
  </si>
  <si>
    <t>1188/QĐ-UBND
26/9/2016</t>
  </si>
  <si>
    <t>Trường Mầm non Pa Ham xã Pa Ham</t>
  </si>
  <si>
    <t>1323/QĐ-UBND
 27/10/2016</t>
  </si>
  <si>
    <t>Thủy lợi Huổi Meo xã Mường Mươn</t>
  </si>
  <si>
    <t>Trường THCS Huổi Mí xã Huổi Mí</t>
  </si>
  <si>
    <t>Trường mầm non Nậm Nèn, xã Nậm Nèn</t>
  </si>
  <si>
    <t xml:space="preserve"> Đường giao thông Km8+150 (đường QL12- Hừa Ngài) - bản Thèn Pả (L=4,4km)</t>
  </si>
  <si>
    <t xml:space="preserve"> Đường giao thông bản Huổi Xuân - bản Huổi Ít, xã Huổi Mí</t>
  </si>
  <si>
    <t>Đường giao thông TT xã Hừa Ngài - bản Phua Di Tổng</t>
  </si>
  <si>
    <t>Thuỷ lợi Huổi Thẩu Ngón</t>
  </si>
  <si>
    <t>Bãi xử lý rác thải huyện</t>
  </si>
  <si>
    <t>VIII</t>
  </si>
  <si>
    <t>Huyện Tủa Chùa</t>
  </si>
  <si>
    <t>Tủa Chùa</t>
  </si>
  <si>
    <t xml:space="preserve"> Truờng Mầm non, THCS xã Sín chải (gđ I-gđII)</t>
  </si>
  <si>
    <t>Dự án bố trí ổn định dân cư vùng thiên tai bản Hột, xã Mường Đun, huyện Tủa Chùa.</t>
  </si>
  <si>
    <t>H.TC</t>
  </si>
  <si>
    <t>54 hộ</t>
  </si>
  <si>
    <t>189/QĐ-UBND 10/10/2014</t>
  </si>
  <si>
    <t>Thủy Lợi Bản Hán, xã Mường Đun</t>
  </si>
  <si>
    <t>1376/QĐ-UBND 28/10/2016</t>
  </si>
  <si>
    <t>368/QĐ-UBND
29/3/2016</t>
  </si>
  <si>
    <t>Trụ sở xã Sính Phình</t>
  </si>
  <si>
    <t>358/QĐ-UBND
28/3/2016</t>
  </si>
  <si>
    <t>Trụ sở xã Mường Đun</t>
  </si>
  <si>
    <t>367/QĐ-UBND
29/3/2016</t>
  </si>
  <si>
    <t>Trụ sở Đảng ủy - HĐND - UBND xã Xá Nhè, huyện Tủa Chùa</t>
  </si>
  <si>
    <t>1368/QĐ-UBND
28/10/2016</t>
  </si>
  <si>
    <t>Xây dựng đường vào và các công trình phụ trợ thuộc di tích cấp Quốc gia, danh lam thắng cảnh hang động Xá Nhè và Khó Chua La, xã Xá Nhè, huyện Tủa Chùa</t>
  </si>
  <si>
    <t>1385/QĐ-UBND 28/10/2016</t>
  </si>
  <si>
    <t>Đường Cu Dỉ Sang (xã Tả Phìn) - Lầu Câu Phình (xã Lao Xả Phình), huyện Tủa Chùa</t>
  </si>
  <si>
    <t>1237/QĐ-UB
04/10/2016</t>
  </si>
  <si>
    <t>Trường mầm non thị trấn Tủa Chùa</t>
  </si>
  <si>
    <t>Trụ sở xã Huổi Só</t>
  </si>
  <si>
    <t>Trụ sở làm việc Phòng Văn hóa - Thông tin huyện</t>
  </si>
  <si>
    <t>Các tuyến nhánh A, B, D đường nội thị thị trấn Tủa Chùa</t>
  </si>
  <si>
    <t>Tổng mức đầu tư 40 tỷ đồng (GĐ 2016-2020 bố trí 15 tỷ đồng; GĐ 2021-2025 bố trí phần vốn còn lại)</t>
  </si>
  <si>
    <t>Nước sinh hoạt trung tâm xã Huổi Só và bản Huổi Tra</t>
  </si>
  <si>
    <t>Bãi rác thị trấn Tủa Chùa</t>
  </si>
  <si>
    <t>IX</t>
  </si>
  <si>
    <t>Huyện Nậm Pồ</t>
  </si>
  <si>
    <t xml:space="preserve"> Cải tạo, NC PKĐKKV Nà Hỳ thành cơ sở tạm TTYT và BVĐK huyện Nậm Pồ </t>
  </si>
  <si>
    <t xml:space="preserve"> 513/QĐ-UBND 07/7/2014</t>
  </si>
  <si>
    <t>Trụ sở liên cơ trạm bảo vệ thực vật, trạm thú y, trạm khuyến nông, hạt kiểm lâm huyện Nậm Pồ</t>
  </si>
  <si>
    <t>1367/QĐ-UBND
28/10/2016</t>
  </si>
  <si>
    <t>Trụ sở xã Chà Nưa</t>
  </si>
  <si>
    <t>1339/QĐ-UBND
28/10/2016</t>
  </si>
  <si>
    <t>Đường dân sinh Vàng Đán Dạo - Huổi Dạo xã Vàng Đán</t>
  </si>
  <si>
    <t>1373/QĐ-UBND 28/10/2016</t>
  </si>
  <si>
    <t>KCM 2018</t>
  </si>
  <si>
    <t>Trường THPT huyện Nậm Pồ (ưu tiên thanh toán chí đền bù để lấy MB thi công DA PTTHPT gđ2 vốn vay ADB năm 2016)</t>
  </si>
  <si>
    <t>Trường Tiểu học trung tâm huyện Nậm Pồ</t>
  </si>
  <si>
    <t>1345/QĐ-UBND ngày 28/10/2016</t>
  </si>
  <si>
    <t>Trường phổ thông DTNT THPT huyện Nậm Pồ (huyện/ trường mới thành lập)</t>
  </si>
  <si>
    <t xml:space="preserve">Thao trường huyện Nậm Pồ </t>
  </si>
  <si>
    <t>Trường THCS huyện Nậm Pồ</t>
  </si>
  <si>
    <t>Trường Mầm non trung tâm huyện</t>
  </si>
  <si>
    <t xml:space="preserve"> Nhà Văn hóa xã Pa Tần</t>
  </si>
  <si>
    <t>Trường Mầm non xã Chà Cang, Nậm Pồ</t>
  </si>
  <si>
    <t>Văn bản số 773/UBND-VX ngày 29/3/2016 của UBND tỉnh (2568)</t>
  </si>
  <si>
    <t xml:space="preserve"> Trung tâm dạy nghề và giới thiệu việc làm huyện Nậm Pồ</t>
  </si>
  <si>
    <t>X</t>
  </si>
  <si>
    <t>Thị xã Mường Lay</t>
  </si>
  <si>
    <t>TXML</t>
  </si>
  <si>
    <t xml:space="preserve">Hệ thống lưới điện sinh hoạt bản Hô Huổi Luông (8 km) </t>
  </si>
  <si>
    <t>Hệ thống lưới điện sinh hoạt bản Hô Nậm Cản (7 km)</t>
  </si>
  <si>
    <t>Hệ thống lưới điện sinh hoạt bản Huổi Luân (2 km)</t>
  </si>
  <si>
    <t>Trụ sở làm việc Công an xã Lay Nưa và  Ban CHQS cấp xã thị xã Mường Lay</t>
  </si>
  <si>
    <t xml:space="preserve">XI </t>
  </si>
  <si>
    <t xml:space="preserve"> Quốc phòng - An ninh</t>
  </si>
  <si>
    <t>TPĐBP</t>
  </si>
  <si>
    <t xml:space="preserve"> Hỗ trợ đầu tư công trình AD 05</t>
  </si>
  <si>
    <t>174/QĐ-UBND, 24/02/2006
02//QĐ-UBND, 16/02/2011</t>
  </si>
  <si>
    <t>Bổ sung dự để thực hiện điều chỉnh dự án (UBND tỉnh đã cho chủ trương thực hiện điều chỉnh DA)</t>
  </si>
  <si>
    <t>Dự án đường ra biên giới Nậm Nhừ - Mốc 43 xã Nà Khoa Mường Nhé</t>
  </si>
  <si>
    <t>957/QĐ-UBND
 22/10/2012</t>
  </si>
  <si>
    <t>Hỗ trợ thiết bị Trung tâm chỉ huy  CSLV Khối An ninh - trực thuộc công an tỉnh</t>
  </si>
  <si>
    <t>Bố trí dứt điểm năm 2018</t>
  </si>
  <si>
    <t>Hỗ trợ kinh phí cải tạo sữa chữa nhà làm việc khối Cảnh sát thuộc trụ sở làm việc Công an tỉnh Điện Biên.</t>
  </si>
  <si>
    <t>Đền bù GPMB cụm điểm tựa phòng ngự cấp tiểu đoàn  (địa bàn huyện Điện Biên)</t>
  </si>
  <si>
    <t>Nhà tạm giữ xử phạt hành chính thuộc Công an huyện Tuần Giáo</t>
  </si>
  <si>
    <t>Cấp nước cửa khẩu Huổi Puốc</t>
  </si>
  <si>
    <t xml:space="preserve"> 446/QĐ-UBND ngày 22/05/2017</t>
  </si>
  <si>
    <t>Nhà CBB2 - Tiểu đoàn BB1 Bộ CHQS tỉnh</t>
  </si>
  <si>
    <t>Hệ thống kho sẵn sàng chiến đấu bộ chỉ huy quân sự tỉnh</t>
  </si>
  <si>
    <t>Điều chuyển đổi danh mục đầu tư</t>
  </si>
  <si>
    <t xml:space="preserve"> Trụ sở làm việc Ban CHQS xã - Công an xã (3 xã) huyện Mường Chà  (mỗi xã 1.300 triệu đồng)</t>
  </si>
  <si>
    <t>Mường 
Chà</t>
  </si>
  <si>
    <t xml:space="preserve"> Trụ sở làm việc Ban CHQS xã - Công an xã (3 xã) huyện Điện Biên Đông (mỗi xã 1.300 triệu đồng)</t>
  </si>
  <si>
    <t xml:space="preserve"> Trụ sở làm việc Ban CHQS xã - Công an xã (3 xã) huyện Tủa Chùa (mỗi xã 1.300 triệu đồng)</t>
  </si>
  <si>
    <t xml:space="preserve"> Trụ sở làm việc Ban CHQS xã - Công an xã (2 xã) huyện Mường Ảng (mỗi xã 1.300 triệu đồng)</t>
  </si>
  <si>
    <t>Mường Ảng</t>
  </si>
  <si>
    <t xml:space="preserve"> Trụ sở làm việc Ban CHQS xã - Công an xã (3 xã) huyện Tuần Giáo (mỗi xã 1.300 triệu đồng)</t>
  </si>
  <si>
    <t>XII</t>
  </si>
  <si>
    <t xml:space="preserve"> Khoa học và công nghệ</t>
  </si>
  <si>
    <t>Công trình quyết toán còn nợ vốn</t>
  </si>
  <si>
    <t xml:space="preserve"> Dự án ứng dụng công nghệ thông tin trong HĐ các cơ quan Đảng Tỉnh Điện Biên</t>
  </si>
  <si>
    <t>333/QĐ-UBND
23/3/2016</t>
  </si>
  <si>
    <t>XIII</t>
  </si>
  <si>
    <t xml:space="preserve"> Hỗ trợ dân tộc đặc biệt khó khăn (Dân tộc Cống) tỉnh ĐB (QĐ 1672/QĐ-TTg)</t>
  </si>
  <si>
    <t>Đường vào bản Nậm Kè, xã Nậm Kè huyện Mường Nhé</t>
  </si>
  <si>
    <t>MN</t>
  </si>
  <si>
    <t>2016-2018</t>
  </si>
  <si>
    <t>863/QĐ-UBND ngày 11/11/2014</t>
  </si>
  <si>
    <t>Đường giao thông Pa Thơm - Huổi Moi giai đoạn II</t>
  </si>
  <si>
    <t xml:space="preserve"> 392/QĐ-UBND ngày 30/3/2016</t>
  </si>
  <si>
    <t>Đường giao thông giai đoạn II vào bản Lả Chà</t>
  </si>
  <si>
    <t>NP</t>
  </si>
  <si>
    <t xml:space="preserve"> 393/QĐ-UBND ngày 30/3/2016</t>
  </si>
  <si>
    <t>Cầu treo bản Púng Bon xã Pa Thơm huyện Điện Biên</t>
  </si>
  <si>
    <t xml:space="preserve"> 391/QĐ-UBND ngày 30/3/2016</t>
  </si>
  <si>
    <t>Nước sinh hoạt bản Lả Chà, xã Pa Tần</t>
  </si>
  <si>
    <t>San nền giao thông thoát nước bản Púng Bon, xã Pa Thơm</t>
  </si>
  <si>
    <t>Nước sinh hoạt bản Nậm Kè, xã Nậm Kè</t>
  </si>
  <si>
    <t>*</t>
  </si>
  <si>
    <t>Bản Nậm Kè</t>
  </si>
  <si>
    <t>Nhà sinh hoạt cộng đồng</t>
  </si>
  <si>
    <t>Bản Lả Chà</t>
  </si>
  <si>
    <t>San nền giao thông, thoát nước bản Lả Chà - Lả Chà A</t>
  </si>
  <si>
    <t>Nhà sinh hoạt cộng đồng  bản Lả Chà</t>
  </si>
  <si>
    <t>Bản Lả Chà A</t>
  </si>
  <si>
    <t>Bản Púng Bon</t>
  </si>
  <si>
    <t>Bản Si Văn</t>
  </si>
  <si>
    <t>Bản Huổi Moi</t>
  </si>
  <si>
    <t>Công trình thủy lợi</t>
  </si>
  <si>
    <t>Công trình nhà sinh hoạt cộng đồng</t>
  </si>
  <si>
    <t>XIV</t>
  </si>
  <si>
    <t xml:space="preserve"> Các ngành Tỉnh - CT Công cộng</t>
  </si>
  <si>
    <t>Các huyện</t>
  </si>
  <si>
    <t xml:space="preserve"> Bảo tồn, tôn tạo di tích Khu trung tâm đề kháng Him Lam </t>
  </si>
  <si>
    <t>2007-2011</t>
  </si>
  <si>
    <t xml:space="preserve"> 528/QĐ-UBND  17/5/2006</t>
  </si>
  <si>
    <t>Trường THPT Lương Thế Vinh</t>
  </si>
  <si>
    <t>Đường dạo leo núi khu du lịch Pa Khoang</t>
  </si>
  <si>
    <t xml:space="preserve"> Dự án cấp điện nông thôn từ lưới điện quốc gia tỉnh Điện Biên giai đoạn 2014- 2020 </t>
  </si>
  <si>
    <t>802/QĐ-UBND
22/10/2014</t>
  </si>
  <si>
    <t xml:space="preserve"> Đối ứng nguốn vốn NSTW</t>
  </si>
  <si>
    <t xml:space="preserve">Bảo tàng chiến thắng Điện Biên Phủ giai đoạn II </t>
  </si>
  <si>
    <t>903/QĐ-UBND 08/09/2011</t>
  </si>
  <si>
    <t>Đường Nà Nhạn - Mường Phăng</t>
  </si>
  <si>
    <t xml:space="preserve"> 838-23/10/2013</t>
  </si>
  <si>
    <t>Lồng ghép vốn NSTW 150 tỷ đồng (dự phòng 21 tỷ đ)</t>
  </si>
  <si>
    <t>Kè chống sạt lở bờ sông Nậm Rốm (Giai đoạn II)</t>
  </si>
  <si>
    <t>Trung tâm đăng kiểm xe cơ giới tỉnh Điện Biên</t>
  </si>
  <si>
    <t>1145/QĐ-UBND
30/10/2015</t>
  </si>
  <si>
    <t>Lồng ghép
3 tỷ quỹ bảo trì đường bộ tỉnh</t>
  </si>
  <si>
    <t xml:space="preserve">Nhà thư viện thuộc Dự án Nhà thí nghiệm, thư viện Trường Cao đẳng Kinh tế - Kỹ thuật Điện Biên </t>
  </si>
  <si>
    <t>Cải tạo, sửa chữa Trụ sở UBND tỉnh</t>
  </si>
  <si>
    <t>1146/QĐ-UBND 30/10/2015</t>
  </si>
  <si>
    <t>Nâng cấp cải tạo Trụ sở Sở Thông tin truyền thông</t>
  </si>
  <si>
    <t>1351/QĐ-UBND
28/10/2016</t>
  </si>
  <si>
    <t>Mở rộng trụ sở làm việc của Đoàn đại biểu quốc hội và HĐND tỉnh</t>
  </si>
  <si>
    <t>471/QĐ-UBND 
31/3/2016</t>
  </si>
  <si>
    <t>Kho lưu trữ chuyên dụng tỉnh Điện Biên</t>
  </si>
  <si>
    <t>406/QĐ-UBND
30/3/2016</t>
  </si>
  <si>
    <t>Cải tạo sửa chữa nhà đội xe Văn phòng Tỉnh ủy và Kho Lưu trữ Tỉnh ủy</t>
  </si>
  <si>
    <t>1381/QĐ-UBND
28/10/2016</t>
  </si>
  <si>
    <t xml:space="preserve"> Cải tạo, sửa chữa Đài PTTH tỉnh (sửa chữa nhà làm việc khu văn phòng, tường rào bảo vệ; xây kè chắn đất…)</t>
  </si>
  <si>
    <t>1384/QĐ-UBND 28/10/2016</t>
  </si>
  <si>
    <t>Kè bảo vệ Trung tâm hội nghị - Văn hóa tỉnh Điện Biên</t>
  </si>
  <si>
    <t>1359/QĐ-UBND
28/10/2016</t>
  </si>
  <si>
    <t xml:space="preserve"> Xây dựng một số biển tấm lớn tại các cửa khẩu</t>
  </si>
  <si>
    <t xml:space="preserve">Nhà Ký túc xá học viên và Các hạng mục phụ trợ Trường Chính trị tỉnh </t>
  </si>
  <si>
    <t>144 
người</t>
  </si>
  <si>
    <t>82/QĐ-UBND ngày 25/01/2017</t>
  </si>
  <si>
    <t xml:space="preserve"> XD Phòng học và Hội trường Trường CĐ Sư phạm</t>
  </si>
  <si>
    <t>16 PH 
+ 500 chỗ</t>
  </si>
  <si>
    <t xml:space="preserve"> Mở rộng, cải tạo trụ sở làm việc Đảng ủy dân chính Đảng tỉnh</t>
  </si>
  <si>
    <t>Cải tạo, Nâng cấp Trụ sở làm việc Trung tâm quy hoạch xây dựng đô thị và Nông thôn - Sở Xây dựng</t>
  </si>
  <si>
    <t>A)</t>
  </si>
  <si>
    <t>Các dự án ODA do địa phương quản lý</t>
  </si>
  <si>
    <t>I)</t>
  </si>
  <si>
    <t>Điện Biên Đông</t>
  </si>
  <si>
    <t>Chương trình WB</t>
  </si>
  <si>
    <t xml:space="preserve">562/QĐ-UBND 12/5/2010 </t>
  </si>
  <si>
    <t>Chương trình đô thị miền núi phía Bắc - thành phố Điện Biên Phủ, giai đoạn 2017-2020 (DB02)</t>
  </si>
  <si>
    <t>III)</t>
  </si>
  <si>
    <t>IV)</t>
  </si>
  <si>
    <t>V)</t>
  </si>
  <si>
    <t>Quỹ đối tác 2KR (Chính phủ Nhật Bản tài trợ)</t>
  </si>
  <si>
    <t xml:space="preserve"> Đường giao thông Trung Sua - Háng Lìa - Phì Sua, xã Keo Lôm, huyện Điện Biên Đông</t>
  </si>
  <si>
    <t>1000/QĐ-UBND 29/9/2011</t>
  </si>
  <si>
    <t>Dự án PT Nông thôn dựa vào kết quả (vốnJICA)</t>
  </si>
  <si>
    <t>Dự án mở rộng quy mô vệ sinh và nước sạch nông thôn dựa trên kết quả (vốn WB)</t>
  </si>
  <si>
    <t>B)</t>
  </si>
  <si>
    <t>Các dự án ODA do các bộ ngành Trung ương đầu tư trên địa bàn</t>
  </si>
  <si>
    <t xml:space="preserve">Dự án Bạn hữu trẻ em </t>
  </si>
  <si>
    <t>1029/QĐ-TTg (20/7/2012)</t>
  </si>
  <si>
    <t>Dự án THCS vùng khó khăn nhất giai đoạn 2 vốn ADB</t>
  </si>
  <si>
    <t>Trường THCS Nậm Tin</t>
  </si>
  <si>
    <t>1090/QĐ-UBND; 27/10/2015</t>
  </si>
  <si>
    <t>Dự án phát triển GDTHPT giai đoạn 2 vốn ADB</t>
  </si>
  <si>
    <t>Trường THPT Nậm Pồ</t>
  </si>
  <si>
    <t>1044/QĐ-UBND; 22/10/2015</t>
  </si>
  <si>
    <t xml:space="preserve">2192/QĐ-BVHTTDL, ngày 25/6/2015 </t>
  </si>
  <si>
    <t xml:space="preserve">1601/QĐ-BVHTTDL, ngày 29/4/2016 </t>
  </si>
  <si>
    <t>XVII</t>
  </si>
  <si>
    <t>XVIII</t>
  </si>
  <si>
    <t xml:space="preserve"> Trả nợ Ngân hàng PT, lãi vay
 (tín dụng NN)</t>
  </si>
  <si>
    <t xml:space="preserve"> Nợ vay TD ưu đãi của Ngân hàng phát triển</t>
  </si>
  <si>
    <t xml:space="preserve"> Nợ vay dự án năng lượng nông thôn (RE II)</t>
  </si>
  <si>
    <t xml:space="preserve"> Trả phí tạm ứng vốn nhàn rỗi Kho bạc nhà nước</t>
  </si>
  <si>
    <t xml:space="preserve"> Trả lãi vay đầu tư lưới điện nông thôn II (RELL II)</t>
  </si>
  <si>
    <t xml:space="preserve">  Chương trình đô thị miền núi phía Bắc - thành phố Điện Biên Phủ (DB01) năm 2016, 2017 </t>
  </si>
  <si>
    <t xml:space="preserve">  Chương trình mở rộng qui mô vệ sinh và nước sạch nông thôn dựa trên kết quả</t>
  </si>
  <si>
    <t>Trả nợ Kho bạc Nhà nước -Đường km 45 (Na Pheo - Si pa Phìn - Mường Nhé) - Nà Hỳ - Huyện Mường Nhé (nay là huyện Nậm Pồ)</t>
  </si>
  <si>
    <t>Vốn phân bổ theo tiêu chí</t>
  </si>
  <si>
    <t>B2</t>
  </si>
  <si>
    <t>Nguồn vốn Xổ số kiến thiết</t>
  </si>
  <si>
    <t>1320/QĐ-UB
27/10/2016</t>
  </si>
  <si>
    <t>Trường THPT huyện Nậm Pồ</t>
  </si>
  <si>
    <t>B3</t>
  </si>
  <si>
    <t xml:space="preserve">Bổ sung số dư dự toán năm 2016 cho các dự án hoàn thành quyết toán </t>
  </si>
  <si>
    <t>Các dự án tiếp chi đã được tổng hợp vào KH2017 theo danh mục trên</t>
  </si>
  <si>
    <t xml:space="preserve">Theo Văn bản số 5600/TB-KBNN ngày 26/4/2016 của Bộ TC </t>
  </si>
  <si>
    <t>Ghi chú: (*) Lũy kế số vốn đã bố trí đến hết kế hoạch năm 2015, bổ sung tính đến hết ngày 31 tháng 12 năm 2015, không bao gồm số vốn ứng trước chưa bố trí kế hoạch để thu hồi</t>
  </si>
  <si>
    <t>Trong đó: vốn NSĐP</t>
  </si>
  <si>
    <t xml:space="preserve">Thu hồi các khoản vốn ứng trước </t>
  </si>
  <si>
    <t>Dự án nhóm c</t>
  </si>
  <si>
    <t>Lồng ghép vốn kêu gọi đầu tư (PPP)</t>
  </si>
  <si>
    <t>Nhà lớp học mầm non, tiểu học bản Si Văn</t>
  </si>
  <si>
    <t xml:space="preserve">Xây dựng Nhà bán trú cho học sinh dân tộc Cống bản Lả Chà đi học tại xã </t>
  </si>
  <si>
    <t>(I)</t>
  </si>
  <si>
    <t xml:space="preserve">Tổng nguồn </t>
  </si>
  <si>
    <t>Vốn hỗ trợ CĐNSĐP theo tiêu chí 40/QĐ-CP</t>
  </si>
  <si>
    <t>XV</t>
  </si>
  <si>
    <t>Trường MN, THCS tại xã Phình Sáng, huyện Tuần Giáo (GĐ 1); (Lồng ghép vốn NSTW)</t>
  </si>
  <si>
    <t>Trạm y tế Quài Cang - Tuần Giáo</t>
  </si>
  <si>
    <t>Trường THCS xã Nà Sáy</t>
  </si>
  <si>
    <t>Trạm y tế Chiềng Sơ - Điện Biên Đông</t>
  </si>
  <si>
    <t>Trạm y tế Háng Lìa - Điện Biên Đông</t>
  </si>
  <si>
    <t>Trạm y tế Mùn Chung - Tuần Giáo</t>
  </si>
  <si>
    <t>(5)</t>
  </si>
  <si>
    <t>Các dự án chuẩn bị đầu tư</t>
  </si>
  <si>
    <t>Trạm y tế Phường Tân Thanh</t>
  </si>
  <si>
    <t>Trạm y tế Mường Luân Điện Biên Đông</t>
  </si>
  <si>
    <t>Trường Mầm non An Bình, xã Mường Mùn</t>
  </si>
  <si>
    <t>Trạm y tế Phình Giàng Điện Biên Đông</t>
  </si>
  <si>
    <t>Trường Mầm non xã Lao Xả Phình</t>
  </si>
  <si>
    <t>640/QĐ-UBND 26/05/2010; 550/QĐ-UBND 22/07/2014</t>
  </si>
  <si>
    <t>Chi phí ban quản lý dự án</t>
  </si>
  <si>
    <t>287/QĐ-UBND
03/5/2012; 270/QĐ-UBND 10/4/2015</t>
  </si>
  <si>
    <t xml:space="preserve"> Các dự án thuộc Chương trình kiên cố hoá nhà lớp học và nhà công vụ cho giáo viên giai đoạn 2014-2015 </t>
  </si>
  <si>
    <t>Trường mầm non Huổi Mí,huyện Mường Chà</t>
  </si>
  <si>
    <t>621/QĐ-UBND ngày 14/07/2017</t>
  </si>
  <si>
    <t xml:space="preserve">Cắt giảm danh mục theo đề xuất của UBND huyện MC </t>
  </si>
  <si>
    <t>Trụ sở xã Mường Tùng, huyện Mường Chà</t>
  </si>
  <si>
    <t>San nền giao thông thoát nước bản Si Văn, xã Pa Thơm</t>
  </si>
  <si>
    <t>Dự án giảm nghèo các tỉnh miền núi phía bắc giai đoạn 2 (2010-2015) tỉnh Điện Biên</t>
  </si>
  <si>
    <t>KH2018 bố trí dứt điểm</t>
  </si>
  <si>
    <t>Nước sinh hoạt bản Púng Bon, xã Pa Thơm</t>
  </si>
  <si>
    <t>San nền giao thông thoát nước bản Huổi Moi, xã Pa Thơm</t>
  </si>
  <si>
    <t>Xây dựng Nhà bán trú bản Púng cho học sinh dân tộc bản Púng Bo nCống đi học tại xã</t>
  </si>
  <si>
    <t>Dự án Phát triển cơ sở hạ tầng du lịch hỗ trợ cho tăng trưởng toàn diện khu vực Tiểu vùng Mê Công mở rộng</t>
  </si>
  <si>
    <t>Dự án Phát triển cơ sở hạ tầng du lịch hỗ trợ cho tăng trưởng toàn diện khu vực Tiểu vùng Mê Công mở rộng năm 2016</t>
  </si>
  <si>
    <t>(Bổ sung do nguồn đối ứng NSTW ko đc bố trí)</t>
  </si>
  <si>
    <t>A.1</t>
  </si>
  <si>
    <t>% Giáo dục</t>
  </si>
  <si>
    <t>Cân tổng phân bổ</t>
  </si>
  <si>
    <t>Tổng số vốn chi cho GD</t>
  </si>
  <si>
    <t>Thủy lợi bản Ná Bá Ban, xã Mường lạn</t>
  </si>
  <si>
    <t>KH2017 bổ sung KD năm 2016 là 5 tỷ</t>
  </si>
  <si>
    <t>Các dự án hoàn thành, bàn giao, đưa vào sử dụng đến ngày 31/12/2017</t>
  </si>
  <si>
    <t>Đơn vị vốn: Triệu đồng</t>
  </si>
  <si>
    <t>Kế hoạch 2018</t>
  </si>
  <si>
    <t xml:space="preserve"> Đường Km45 (Na pheo- Si Pa Phìn) đi Nà Hỳ</t>
  </si>
  <si>
    <t>31,6km</t>
  </si>
  <si>
    <t>14-17</t>
  </si>
  <si>
    <t>CĐNSĐP tỉnh hỗ
 trợ 60 tỷ</t>
  </si>
  <si>
    <t>Lồng ghép vốn tín dụng;</t>
  </si>
  <si>
    <t>Hải Đăng</t>
  </si>
  <si>
    <t>1228/QĐ-UBND 01/10/2010; 709/QĐ-UB (13/9/2013)</t>
  </si>
  <si>
    <t xml:space="preserve">Kế hoạch năm 2017 đã được cấp có thẩm quyền quyết định </t>
  </si>
  <si>
    <t>Kế hoạch 2018-2020</t>
  </si>
  <si>
    <t>922/QĐ-UBND ngày 09/10/2017</t>
  </si>
  <si>
    <t>Lồng ghép vốn CT 135:  3 tỷ đồng</t>
  </si>
  <si>
    <t>1183/QĐ-UBND 23/09/2016</t>
  </si>
  <si>
    <t>1352/QĐ-UBND 28/10/2016</t>
  </si>
  <si>
    <t>853/QĐ-UBND ngày 20/9/2017</t>
  </si>
  <si>
    <t>Trường THCS thị Trấn ĐBĐ</t>
  </si>
  <si>
    <t>1321/QĐ-UBND ngày 27/10/2016</t>
  </si>
  <si>
    <t>719/QĐ-UBND ngày 18/8/2017</t>
  </si>
  <si>
    <t>Dự kiến bố trí điều chỉnh KH 2017 bố trí 1.000 trđ</t>
  </si>
  <si>
    <t>723/QĐ-UBND
18/08/2017</t>
  </si>
  <si>
    <t>PKĐKKV Leng Su Sìn (Thành lập mới)</t>
  </si>
  <si>
    <t>744/QĐ-UBND 25/8/2017</t>
  </si>
  <si>
    <t>2017-2019</t>
  </si>
  <si>
    <t>Lồng ghép vốn NSTW, bố trí dứt điểm NSĐP 2018</t>
  </si>
  <si>
    <t>867/QĐ-UBND 25/9/2017</t>
  </si>
  <si>
    <t>866/QĐ-UBND 25/9/2017</t>
  </si>
  <si>
    <t>971/QĐ-UBND 25/10/2017</t>
  </si>
  <si>
    <t>Trường Mầm non Thị trấn huyện Điện Biên</t>
  </si>
  <si>
    <t>984/QĐ-UBND 27/10/2017</t>
  </si>
  <si>
    <t>979/QĐ-UBND 27/10/2017</t>
  </si>
  <si>
    <t>985/QĐ-UBND 27/10/2017</t>
  </si>
  <si>
    <t>1005/QĐ-UBND 30/10/2017</t>
  </si>
  <si>
    <t>2018-2019</t>
  </si>
  <si>
    <t xml:space="preserve"> TIÊU CHÍ PHÂN BỔ VỐN ĐẦU TƯ PHÁT TRIỂN NSNN NGUỒN VỐN CÂN ĐỐI NSĐP TRÊN ĐỊA BÀN CÁC HUYỆN, THỊ XÃ, THÀNH PHỐ</t>
  </si>
  <si>
    <t>THUỘC TỈNH ĐIỆN BIÊN GIAI ĐOẠN 2016-2020</t>
  </si>
  <si>
    <t>(Kèm theo Quyết định số 23/QĐ-UBND ngày  23 tháng 11 năm 2015 của UBND tỉnh Điện Biên)</t>
  </si>
  <si>
    <t>Tiêu chí phân bổ</t>
  </si>
  <si>
    <t>Đơn vị</t>
  </si>
  <si>
    <t>Tổng số điểm theo tiêu trí phân bổ của TW (theo QĐ 40/2015/QĐ-TTg)</t>
  </si>
  <si>
    <t>Tổng số điểm theo tiêu chí phân bổ của tỉnh giai đoạn 2016 - 2020</t>
  </si>
  <si>
    <t>Tiêu chí</t>
  </si>
  <si>
    <t>Toàn tỉnh</t>
  </si>
  <si>
    <t>Điện Biên Phủ</t>
  </si>
  <si>
    <t>Biên Phủ</t>
  </si>
  <si>
    <t>Biên</t>
  </si>
  <si>
    <t>Giáo</t>
  </si>
  <si>
    <t>Chùa</t>
  </si>
  <si>
    <t>Chà</t>
  </si>
  <si>
    <t>Nhé</t>
  </si>
  <si>
    <t>Mường</t>
  </si>
  <si>
    <t>Đông</t>
  </si>
  <si>
    <t>Lay</t>
  </si>
  <si>
    <t>Tiêu chí phân bổ vốn XDCBTT</t>
  </si>
  <si>
    <t xml:space="preserve"> Tiêu chí về dân số </t>
  </si>
  <si>
    <t>Điểm</t>
  </si>
  <si>
    <t>Dân số năm 2014</t>
  </si>
  <si>
    <t>người</t>
  </si>
  <si>
    <t>Số 2014</t>
  </si>
  <si>
    <t>TC: 10.000 dân được 1,1 điểm</t>
  </si>
  <si>
    <t xml:space="preserve"> -</t>
  </si>
  <si>
    <t>Số điểm</t>
  </si>
  <si>
    <t>Số dân tộc thiểu số (83 điểm)</t>
  </si>
  <si>
    <t xml:space="preserve">Theo tỷ lệ năm 2009 </t>
  </si>
  <si>
    <t>TC: 10.000 dân được 1,95 điểm</t>
  </si>
  <si>
    <t>Tỷ lệ dân tộc thiểu số</t>
  </si>
  <si>
    <t>%</t>
  </si>
  <si>
    <t>Tiêu chí trình độ phát triển</t>
  </si>
  <si>
    <t>Tỷ lệ hộ nghèo (50 điểm)</t>
  </si>
  <si>
    <t>Tỷ lệ hộ nghèo (năm 2013)</t>
  </si>
  <si>
    <t xml:space="preserve"> Số hộ nghèo</t>
  </si>
  <si>
    <t>Hộ</t>
  </si>
  <si>
    <t xml:space="preserve">Cứ 5% hộ nghèo được tính </t>
  </si>
  <si>
    <t>Tổng số điểm</t>
  </si>
  <si>
    <t>Thu nội địa (96 điểm)</t>
  </si>
  <si>
    <t>Thu nội địa (Không kể thu đấu giá đất, S.xố) số giao năm 2015</t>
  </si>
  <si>
    <t>Tỷ đồng</t>
  </si>
  <si>
    <t>Tổng số điểm =
 Tổng số thu/5 tỷ đồng x 1,37 điểm</t>
  </si>
  <si>
    <t xml:space="preserve"> Số điểm</t>
  </si>
  <si>
    <t xml:space="preserve"> Điểm</t>
  </si>
  <si>
    <t xml:space="preserve"> Tiêu chí về diện tích</t>
  </si>
  <si>
    <t>Diện tích tự nhiên</t>
  </si>
  <si>
    <t>1000 ha</t>
  </si>
  <si>
    <t>Dưới 20 nghìn ha được 7 điểm</t>
  </si>
  <si>
    <t>Từ 20 nghìn ha đến dưới 50 nghìn ha, cứ 10.000 được cộng thêm 0,2 điểm</t>
  </si>
  <si>
    <t>Từ 50 nghìn ha đến dưới 100 nghìn ha, cứ 10.000 được cộng thêm 0,15 điểm</t>
  </si>
  <si>
    <t>Trên 100 nghìn ha trở lên, cứ 10000 được cộng thêm 0,06 điểm</t>
  </si>
  <si>
    <t xml:space="preserve"> Tiêu chí về đơn vị hành chính cấp huyện</t>
  </si>
  <si>
    <t xml:space="preserve"> Đơn vị hành chính cấp huyện</t>
  </si>
  <si>
    <t>Số đơn vị hành chính cấp huyện</t>
  </si>
  <si>
    <t>Số huyện Miền núi</t>
  </si>
  <si>
    <t>Số huyện Biên giới</t>
  </si>
  <si>
    <t>Các tiêu chí bổ sung</t>
  </si>
  <si>
    <t xml:space="preserve"> Xã Biên giới (42 điểm)</t>
  </si>
  <si>
    <t xml:space="preserve"> Số xã biên giới</t>
  </si>
  <si>
    <t xml:space="preserve"> Số điểm/1 xã</t>
  </si>
  <si>
    <t>Phát triển thành phố Điện Biên Phủ
 (TP  đạt đô thị loại 2 vào năm 2020)</t>
  </si>
  <si>
    <t>Thành Phố Điện Biên Phủ</t>
  </si>
  <si>
    <t xml:space="preserve"> Vốn đầu tư trong cân đối NSĐP
 (Kế hoạch năm 2016)</t>
  </si>
  <si>
    <t xml:space="preserve"> Trả nợ Ngân hàng PT(tín dụngNN)</t>
  </si>
  <si>
    <t>Tr.đồng</t>
  </si>
  <si>
    <t xml:space="preserve"> Quốc phòng an ninh</t>
  </si>
  <si>
    <t xml:space="preserve"> Khoa học công nghệ</t>
  </si>
  <si>
    <t xml:space="preserve"> Dân tộc cống</t>
  </si>
  <si>
    <t xml:space="preserve"> Dự án công cộng + các ngành tỉnh quản lý </t>
  </si>
  <si>
    <t xml:space="preserve">Dự phòng </t>
  </si>
  <si>
    <t>Tổng vốn (Từ mục 1 đến 7) năm 2016</t>
  </si>
  <si>
    <t xml:space="preserve">Tổng vốn (Từ mục 1 đến 7) giai đoạn 2016-2020 </t>
  </si>
  <si>
    <t xml:space="preserve"> Vốn CĐNSĐP các huyện năm 2016</t>
  </si>
  <si>
    <t>8.1</t>
  </si>
  <si>
    <t xml:space="preserve"> Điểm để phân bổ hàng năm</t>
  </si>
  <si>
    <t>Tỷ lệ điểm để phân bổ hàng năm</t>
  </si>
  <si>
    <t>8.2</t>
  </si>
  <si>
    <t xml:space="preserve">Kế hoạch năm 2016 </t>
  </si>
  <si>
    <t xml:space="preserve"> Dự kiến Kế hoạch năm 2017</t>
  </si>
  <si>
    <t>Dự kiến Kế hoạch năm 2018</t>
  </si>
  <si>
    <t>Dự kiến Kế hoạch năm 2019</t>
  </si>
  <si>
    <t>Dự kiến Kế hoạch năm 2020</t>
  </si>
  <si>
    <t>Tổng giai đoạn 2016-2020</t>
  </si>
  <si>
    <t xml:space="preserve"> Vốn đầu tư XDCBTT toàn tỉnh (100%) giai đoạn 2016-2020</t>
  </si>
  <si>
    <t>8.3</t>
  </si>
  <si>
    <t xml:space="preserve"> KH vốn năm 2015 (theo QĐ số 993/QĐ-UBND)</t>
  </si>
  <si>
    <t>8.4</t>
  </si>
  <si>
    <t xml:space="preserve"> Tỷ lệ vốn tăng so với KH năm 2015</t>
  </si>
  <si>
    <t xml:space="preserve"> Ghi chú</t>
  </si>
  <si>
    <t xml:space="preserve"> Tổng số</t>
  </si>
  <si>
    <t xml:space="preserve"> Trong đó: Dự phòng 10%</t>
  </si>
  <si>
    <t xml:space="preserve"> Tổng nguồn vốn cân đối NSĐP
giai đoạn 2016-2020</t>
  </si>
  <si>
    <t xml:space="preserve">  Vốn đầu tư trong cân đối theo tiêu chí 40/2015-QĐ-TTg</t>
  </si>
  <si>
    <t xml:space="preserve"> Phân bổ theo tiêu chí 23/QĐ-UBND ngày 23/11/2015</t>
  </si>
  <si>
    <t>Các khoản phân bổ không theo tiêu chí</t>
  </si>
  <si>
    <t xml:space="preserve"> Hỗ trợ dân tộc đặc biệt khó khăn </t>
  </si>
  <si>
    <t xml:space="preserve"> Đối ứng các chương trình dự án ODA</t>
  </si>
  <si>
    <t>Hỗ trợ Dự án trọng điểm</t>
  </si>
  <si>
    <t>5.1</t>
  </si>
  <si>
    <t>5.2</t>
  </si>
  <si>
    <t xml:space="preserve"> Đường Km45 (Na Pheo- Si Pa Phìn) đi Nà Hỳ</t>
  </si>
  <si>
    <t>5.3</t>
  </si>
  <si>
    <t xml:space="preserve">  Đường liên huyện Hua Ná - Pá Liếng (xã Ảng Cang, huyện Mường Ảng) đi Lọng Khẩu Cắm (xã Mường Phăng, huyện Điện Biên)</t>
  </si>
  <si>
    <t>5.4</t>
  </si>
  <si>
    <t>Công trình thủy lợi Nậm Khẩu Hu xã Thanh Nưa</t>
  </si>
  <si>
    <t xml:space="preserve"> Số vốn phân bổ cho các ngành, huyện thị</t>
  </si>
  <si>
    <t xml:space="preserve"> Các ngành</t>
  </si>
  <si>
    <t>Tính tăng 10% so với năm trước (dư 285trđ hết nhu cầu)</t>
  </si>
  <si>
    <t xml:space="preserve"> Các huyện, thị xã, thành phố</t>
  </si>
  <si>
    <t>TP Điện Biên</t>
  </si>
  <si>
    <t xml:space="preserve">Huyện Mường Ảng </t>
  </si>
  <si>
    <t>Huyện Mường Chà</t>
  </si>
  <si>
    <t xml:space="preserve"> Vốn Xổ số kiến thiết </t>
  </si>
  <si>
    <t>1012/QĐ-UBND 30/10/2017</t>
  </si>
  <si>
    <t xml:space="preserve">10% dự phòng cân đối NSĐP </t>
  </si>
  <si>
    <t>Kế hoạch 5 năm 2016-2020</t>
  </si>
  <si>
    <t xml:space="preserve"> TỔNG HỢP VỐN ĐẦU TƯ PHÁT TRIÊN NGUỒN CÂN ĐỐI NGÂN SÁCH ĐỊA PHƯƠNG GĐ 2016-2020
THEO TIÊU CHÍ CHO CÁC NGÀNH VÀ CẤP HUYỆN-TỈNH ĐIỆN BIÊN</t>
  </si>
  <si>
    <t>Vốn phân bổ theo định mức</t>
  </si>
  <si>
    <t>775/QĐ-UBND ngày 31/8/2017</t>
  </si>
  <si>
    <t>KH 2017 đến 30/9 chưa giải ngân</t>
  </si>
  <si>
    <t>2017-2018</t>
  </si>
  <si>
    <t>Thực hiện 2017 đến 30/9</t>
  </si>
  <si>
    <t>TT dứt điểm</t>
  </si>
  <si>
    <t xml:space="preserve">Năm 2017 Bổ sung 6,132 tỷ đồng từ nguồn tăng thu ngân sách tỉnh năm 2016 </t>
  </si>
  <si>
    <t>2016-2019</t>
  </si>
  <si>
    <t>986/QĐ-UBND 27/10/2017</t>
  </si>
  <si>
    <t>1382/QĐ-UBND
27/10/2016</t>
  </si>
  <si>
    <t>2016-2017</t>
  </si>
  <si>
    <t>Địa điểm mở TK dự án</t>
  </si>
  <si>
    <t>Chủ đầu tư</t>
  </si>
  <si>
    <t>Mã số dự án đầu tư</t>
  </si>
  <si>
    <t>Mã ngành KT</t>
  </si>
  <si>
    <t>712/QĐ-UBND ngày 18/8/2017</t>
  </si>
  <si>
    <t>2017-2020</t>
  </si>
  <si>
    <t>1018/QĐ-UBND ngày 30/10/2017</t>
  </si>
  <si>
    <t>1186/QĐ-UBND 30/10/2015</t>
  </si>
  <si>
    <t>Vốn đã thanh toán từ khởi công đến KH năm 2017</t>
  </si>
  <si>
    <t>Nâng cấp mở rộng trụ sở Huyện Ủy Tủa Chùa</t>
  </si>
  <si>
    <t>983/QĐ-UBND 30/10/2012; 923/QĐ-UBND 22/7/2016</t>
  </si>
  <si>
    <t>911/QĐ-UBND 04/10/2017</t>
  </si>
  <si>
    <t>106/QĐ-UBND ngày 13/02/2017</t>
  </si>
  <si>
    <t>Các dự án hoàn thành, bàn giao, đưa vào sử dụng trước ngày 31/12/2017</t>
  </si>
  <si>
    <t>Cơ sở hạ tầng công nghệ thông tin các sở, ngành</t>
  </si>
  <si>
    <t xml:space="preserve">1070/QĐ-UBND ngày 08/9/2010 </t>
  </si>
  <si>
    <t>Sở TTTT</t>
  </si>
  <si>
    <t>Trả nợ Kho bạc Nhà nước -Dự án Hạ tầng kỹ thuật khung khu trụ sở cơ quan, khu công cộng, khu thương mại dịch vụ dọc trục đường 60m</t>
  </si>
  <si>
    <t>Nâng cấp đường vào khu di tích Sở chỉ huy chiến dịch Điện Biên Phủ ở Mường Phăng</t>
  </si>
  <si>
    <t>1002/QĐ-UBND ngày 27/10/2017</t>
  </si>
  <si>
    <t>Bố trí vốn cân đối NSĐP trả Kho bạc NN dự án Hạ tầng kỹ thuật khung khu trụ sở cơ quan, khu công cộng, khu thương mại dịch vụ dọc trục đường 60m</t>
  </si>
  <si>
    <t>Trả phí, lãi vay</t>
  </si>
  <si>
    <t>959/QĐ-UBND
24/10/2016</t>
  </si>
  <si>
    <t xml:space="preserve"> Đường Chà Tở - Mường Tùng</t>
  </si>
  <si>
    <t>230/QĐ-UBND  27/2/2010;
394/QĐ-UBND
08/5/2017</t>
  </si>
  <si>
    <t>Trung tâm khuyến nông giống cây trồng vật nuôi tỉnh Điện Biên</t>
  </si>
  <si>
    <t>Bố trí TT dứt điểm</t>
  </si>
  <si>
    <t>Dự án Giảm nghèo các tỉnh miền núi phía bắc giai đoạn 2, tỉnh Điện Biên (2015 - 2018)</t>
  </si>
  <si>
    <t>Xây dựng hệ thống kho và cải tạo sửa chữa nhà ăn, nhà bếp, các hạng mục phụ trợ Trường quân sự địa phương</t>
  </si>
  <si>
    <t>1102/QĐ-UBND ngày 30/10/2017</t>
  </si>
  <si>
    <t>DỰ KIẾN KẾ HOẠCH VỐN ĐẦU TƯ NGUỒN NSNN NĂM 2018</t>
  </si>
  <si>
    <t>UBND TPĐBP</t>
  </si>
  <si>
    <t>STNMT</t>
  </si>
  <si>
    <t>UBND huyện ĐB</t>
  </si>
  <si>
    <t>2015-2017</t>
  </si>
  <si>
    <t>Ban QLDA NN&amp;PTNT</t>
  </si>
  <si>
    <t>Sở Y tế</t>
  </si>
  <si>
    <t>Cty TNHH Cấp nước ĐB</t>
  </si>
  <si>
    <t>Sở Công thương</t>
  </si>
  <si>
    <t>UBND huyện TG</t>
  </si>
  <si>
    <t>UBND huyện ĐBĐ</t>
  </si>
  <si>
    <t>UBND huyện M.Ảng</t>
  </si>
  <si>
    <t>UBND huyện M.Nhé</t>
  </si>
  <si>
    <t>UBND huyện M.Chà</t>
  </si>
  <si>
    <t>Ban QLDA GT</t>
  </si>
  <si>
    <t>UBND huyện T.Chùa</t>
  </si>
  <si>
    <t>UBND huyện N.Pồ</t>
  </si>
  <si>
    <t>Sở GDĐT</t>
  </si>
  <si>
    <t>UBND TX M.Lay</t>
  </si>
  <si>
    <t>Bộ CHBĐ Biên PHòng</t>
  </si>
  <si>
    <t>Công an tỉnh</t>
  </si>
  <si>
    <t>Bộ CHQS tỉnh</t>
  </si>
  <si>
    <t>Bộ CHBĐ Biên Phòng</t>
  </si>
  <si>
    <t>UBND huyện T.Giáo</t>
  </si>
  <si>
    <t>Ban Dân tôc</t>
  </si>
  <si>
    <t>Ban QLDA CTGT</t>
  </si>
  <si>
    <t>VP UBND tỉnh</t>
  </si>
  <si>
    <t>Sở GTVT</t>
  </si>
  <si>
    <t>Trường CĐKT-KT</t>
  </si>
  <si>
    <t>VP HĐND tỉnh</t>
  </si>
  <si>
    <t>VP Tỉnh ủy</t>
  </si>
  <si>
    <t>Đài PT&amp;TH tỉnh</t>
  </si>
  <si>
    <t>Sở Nội vụ</t>
  </si>
  <si>
    <t>Sở TNMT</t>
  </si>
  <si>
    <t>Trường Chính trị</t>
  </si>
  <si>
    <t>Trường CĐSP</t>
  </si>
  <si>
    <t>Đảng ủy DC</t>
  </si>
  <si>
    <t>TT QHXD&amp;NN</t>
  </si>
  <si>
    <t>Ban QLDA các CT XD&amp;CN</t>
  </si>
  <si>
    <t>Sở VTTTDL</t>
  </si>
  <si>
    <t>Sở GD ĐT</t>
  </si>
  <si>
    <t>UBND tỉnh Điện Biên</t>
  </si>
  <si>
    <t>KH 2018 bố trí dứt điểm</t>
  </si>
  <si>
    <t>KH 2017 Bổ sung 3 tỷ; KH 2018 bố trí TT dứt điểm</t>
  </si>
  <si>
    <t>KH 2017 Bổ sung 2 tỷ; KH 2018 bố trí TT dứt điểm</t>
  </si>
  <si>
    <t>LG 30a</t>
  </si>
  <si>
    <t>Trường phổ thông dân tộc nội trú huyện Mường Ảng, tỉnh Điện Biên</t>
  </si>
  <si>
    <t>496/QĐ-UBND ngày 29/4/2010</t>
  </si>
  <si>
    <t>2011-2012</t>
  </si>
  <si>
    <t>A'</t>
  </si>
  <si>
    <t xml:space="preserve">Chương trình đô thị miền núi phía Bắc - thành phố Điện Biên Phủ (DB01) năm 2016, 2017 </t>
  </si>
  <si>
    <t>Chương trình mở rộng qui mô vệ sinh và nước sạch nông thôn dựa trên kết quả</t>
  </si>
  <si>
    <t xml:space="preserve"> - Kế hoạch vốn còn lại sau khi đã chi trả lãi, phí và dự án vay lại từ Chính phủ năm 2017</t>
  </si>
  <si>
    <t>2315/QĐ-UBND; 25/12/2009</t>
  </si>
  <si>
    <t>2009-2019</t>
  </si>
  <si>
    <t>M.Ảng</t>
  </si>
  <si>
    <t>Dự án vay từ nguồn Chính phủ vay về cho vay lại</t>
  </si>
  <si>
    <t>Hoàn ứng NSĐP 2015 là 50 tr.đồng DA san nền Bản Hột; 950 tr.đồng hoàn ứng theo QĐ số 1280/QĐ-UBND ngày 19/10/2016</t>
  </si>
  <si>
    <t>1270/QĐ-UBND ngày 14/102016</t>
  </si>
  <si>
    <t>1269/QĐ-UBND ngày 14/10/2016</t>
  </si>
  <si>
    <t>Thủy lợi bản Lả Chà - xã Pa Tần</t>
  </si>
  <si>
    <t>Thủy lợi bản Huổi Moi - xã Pa Thơm</t>
  </si>
  <si>
    <t>KH 2017 đến 30/9 giải ngân dưới 30%</t>
  </si>
  <si>
    <t>Lồng ghép vốn NSTW;</t>
  </si>
  <si>
    <t>Trường THCS và THPT Quyết Tiến  huyện Tủa Chùa</t>
  </si>
  <si>
    <t>951/QĐ-UBND 18/10/2017</t>
  </si>
  <si>
    <t>835/QĐ-UBND  10/9/2012</t>
  </si>
  <si>
    <t>301/QĐ-UBND ngày 06/4/2011</t>
  </si>
  <si>
    <t>Nhà Đa năng, Nhà BGH và các hạng mục phụ trợ trường THPT Mường Nhà</t>
  </si>
  <si>
    <t>Sở GD&amp;ĐT</t>
  </si>
  <si>
    <t>1001/QĐ-UBND 27/10/2017</t>
  </si>
  <si>
    <t>Tạm ứng ngân sách địa phương hoàn trả vốn tạm ứng Kho bạc NN dự án Hạ tầng kỹ thuật khung khu trụ sở cơ quan, khu công cộng, khu thương mại dịch vụ dọc trục đường 60m</t>
  </si>
  <si>
    <t>KH2017 bổ sung KD năm 2016 là 11 tỷ</t>
  </si>
  <si>
    <t xml:space="preserve">Tạm ứng NSĐP Hoàn trả tạm ứng kho bạc NN theo Quyết định số 757/QĐ-UBND ngày 29/8/2017 </t>
  </si>
  <si>
    <t>1014/QĐ-UBND 30/10/2017</t>
  </si>
  <si>
    <t>Nhà Đa năng và các hạng mục phụ trợ trường THPT Mường Ảng</t>
  </si>
  <si>
    <t>2188/QĐ-TTg 08/12/2014; 1080/QĐ-BKHĐT ngày 07/8/2017</t>
  </si>
  <si>
    <t>Bố trí vốn dứt điểm</t>
  </si>
  <si>
    <t>1350/QĐ-UBND
28/10/2016</t>
  </si>
  <si>
    <t>975/QĐ-UBND 26/10/2017</t>
  </si>
  <si>
    <t>974/QĐ-UBND 26/10/2017</t>
  </si>
  <si>
    <t>973/QĐ-UBND 26/10/2017</t>
  </si>
  <si>
    <t>848, ngày 19/9/2012; 1023/QĐ-UBND ngày 08/8/2016</t>
  </si>
  <si>
    <t>GĐ II: 2016-2018</t>
  </si>
  <si>
    <t>Hỗ trợ kinh phí đầu tư xây dựng các hạng mục hạ tầng kỹ thuật tại Trụ sở làm việc Công an tỉnh Điện Biên</t>
  </si>
  <si>
    <t>1064/QĐ-UBND 30/10/2017</t>
  </si>
  <si>
    <t>KCM</t>
  </si>
  <si>
    <t>CBĐT</t>
  </si>
  <si>
    <t>936a/QĐ-UBND 20/9/2011; 1099/QĐ-UBND ngày 29/10/2015</t>
  </si>
  <si>
    <t>Trường phổ thông DTNT THPT huyện Mường Nhé (gđ 2)</t>
  </si>
  <si>
    <t>975/QĐ-UBND 29/10/2012</t>
  </si>
  <si>
    <t>LG vốn hỗ trợ có mục tiêu, xã hội hóa 40 tỷ đồng</t>
  </si>
  <si>
    <t>94/HĐND-KTNS ngày 18/5/2017</t>
  </si>
  <si>
    <t xml:space="preserve">LG vốn NSTW </t>
  </si>
  <si>
    <t>615/QĐ-UBND 11/7/2017</t>
  </si>
  <si>
    <t>Sửa chửa, mở rộng Trụ sở Sở Nội vụ tỉnh Điện Biên</t>
  </si>
  <si>
    <t>KH 2017 bổ sung 500 tr.đ; KH 2018 bố trí TT dứt điểm</t>
  </si>
  <si>
    <t>KH 2018 vốn NSTW là 1617 trđ</t>
  </si>
  <si>
    <t>Trả phí, lãi vay, vay</t>
  </si>
  <si>
    <t xml:space="preserve">2130/QĐ-UBND, 03/12/2009 203/QĐ-UBND ngày 21/3/2017
 </t>
  </si>
  <si>
    <t>Đến 2018</t>
  </si>
  <si>
    <t>439/QĐ-UBND 30/03/2016; 1066/QĐ-UBND ngày 30/10/2017</t>
  </si>
  <si>
    <t>Các dự án CBĐT năm 2018</t>
  </si>
  <si>
    <t>Dự án đã điều chỉnh QM, bố trí vốn thanh toán điểm dừng kỹ thuật.</t>
  </si>
  <si>
    <t>Chênh lệch do số Bội thu Trung ương giao là 69.800 triệu đồng số địa phương xác định lại là 69.851 triệu đồng</t>
  </si>
  <si>
    <t>CĐNSĐP tỉnh hỗ trợ 40 tỷ</t>
  </si>
  <si>
    <t>Chương trình mục tiêu quốc gia xây dựng nông thôn mới</t>
  </si>
  <si>
    <t>Nguồn vốn Xổ số kiến thiết cho đầu tư phát triển</t>
  </si>
  <si>
    <t>Bố trí 10% dự toán thu XSKT để bổ sung vốn cho các nhiệm vụ thuộc Chương trình MTQGXDNTM</t>
  </si>
  <si>
    <t>Đầu tư trạm y tế xã, phường cho nông thôn mới</t>
  </si>
  <si>
    <t>Đầu tư trường học cho nông thôn mới</t>
  </si>
  <si>
    <t>Đầu tư trường học, trạm y tế xã, phường cho nông thôn mới</t>
  </si>
  <si>
    <t>KH 2018 đã phân bổ 86% dự toán thu XSKT để bổ sung vốn cho các nhiệm vụ thuộc Chương trình MTQGXDNTM</t>
  </si>
  <si>
    <r>
      <t xml:space="preserve"> Vốn từ nguồn thu sử dụng đất </t>
    </r>
    <r>
      <rPr>
        <i/>
        <sz val="16"/>
        <rFont val="Times New Roman"/>
        <family val="1"/>
      </rPr>
      <t xml:space="preserve">(không bao gồm đầu tư nguồn thu của cơ quan sử dụng đất; đầu tư hạ tầng từ đấu giá đất) </t>
    </r>
  </si>
  <si>
    <r>
      <t xml:space="preserve">Phòng khám BVSK cán bộ tỉnh </t>
    </r>
    <r>
      <rPr>
        <i/>
        <sz val="16"/>
        <rFont val="Times New Roman"/>
        <family val="1"/>
      </rPr>
      <t>(LG vốn NSTW)</t>
    </r>
  </si>
  <si>
    <t>Không TK 10%; nằm trong xã NTM</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</si>
</sst>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_-&quot;£&quot;* #,##0_-;\-&quot;£&quot;* #,##0_-;_-&quot;£&quot;* &quot;-&quot;_-;_-@_-"/>
    <numFmt numFmtId="173" formatCode="_-* #,##0_-;\-* #,##0_-;_-* &quot;-&quot;_-;_-@_-"/>
    <numFmt numFmtId="174" formatCode="_-* #,##0.00_-;\-* #,##0.00_-;_-* &quot;-&quot;??_-;_-@_-"/>
    <numFmt numFmtId="175" formatCode="_-* #,##0.00\ _V_N_D_-;\-* #,##0.00\ _V_N_D_-;_-* &quot;-&quot;??\ _V_N_D_-;_-@_-"/>
    <numFmt numFmtId="176" formatCode="0_);\(0\)"/>
    <numFmt numFmtId="177" formatCode="_-&quot;ñ&quot;* #,##0_-;\-&quot;ñ&quot;* #,##0_-;_-&quot;ñ&quot;* &quot;-&quot;_-;_-@_-"/>
    <numFmt numFmtId="178" formatCode="_(* #,##0_);_(* \(#,##0\);_(* &quot;-&quot;??_);_(@_)"/>
    <numFmt numFmtId="179" formatCode="_-* #,##0\ &quot;F&quot;_-;\-* #,##0\ &quot;F&quot;_-;_-* &quot;-&quot;\ &quot;F&quot;_-;_-@_-"/>
    <numFmt numFmtId="180" formatCode="&quot;\&quot;#,##0;[Red]&quot;\&quot;&quot;\&quot;\-#,##0"/>
    <numFmt numFmtId="181" formatCode="#,##0\ &quot;DM&quot;;\-#,##0\ &quot;DM&quot;"/>
    <numFmt numFmtId="182" formatCode="0.000%"/>
    <numFmt numFmtId="183" formatCode="#.##00"/>
    <numFmt numFmtId="184" formatCode="&quot;Rp&quot;#,##0_);[Red]\(&quot;Rp&quot;#,##0\)"/>
    <numFmt numFmtId="185" formatCode="_ * #,##0_)\ &quot;$&quot;_ ;_ * \(#,##0\)\ &quot;$&quot;_ ;_ * &quot;-&quot;_)\ &quot;$&quot;_ ;_ @_ "/>
    <numFmt numFmtId="186" formatCode="_-&quot;$&quot;* #,##0_-;\-&quot;$&quot;* #,##0_-;_-&quot;$&quot;* &quot;-&quot;_-;_-@_-"/>
    <numFmt numFmtId="187" formatCode="_-* #,##0\ _F_-;\-* #,##0\ _F_-;_-* &quot;-&quot;\ _F_-;_-@_-"/>
    <numFmt numFmtId="188" formatCode="_-* #,##0\ &quot;€&quot;_-;\-* #,##0\ &quot;€&quot;_-;_-* &quot;-&quot;\ &quot;€&quot;_-;_-@_-"/>
    <numFmt numFmtId="189" formatCode="_-* #,##0\ &quot;$&quot;_-;\-* #,##0\ &quot;$&quot;_-;_-* &quot;-&quot;\ &quot;$&quot;_-;_-@_-"/>
    <numFmt numFmtId="190" formatCode="_ * #,##0_)&quot;$&quot;_ ;_ * \(#,##0\)&quot;$&quot;_ ;_ * &quot;-&quot;_)&quot;$&quot;_ ;_ @_ "/>
    <numFmt numFmtId="191" formatCode="_-&quot;€&quot;* #,##0_-;\-&quot;€&quot;* #,##0_-;_-&quot;€&quot;* &quot;-&quot;_-;_-@_-"/>
    <numFmt numFmtId="192" formatCode="_-* #,##0.00\ _F_-;\-* #,##0.00\ _F_-;_-* &quot;-&quot;??\ _F_-;_-@_-"/>
    <numFmt numFmtId="193" formatCode="_-* #,##0.00\ _€_-;\-* #,##0.00\ _€_-;_-* &quot;-&quot;??\ _€_-;_-@_-"/>
    <numFmt numFmtId="194" formatCode="_ * #,##0.00_ ;_ * \-#,##0.00_ ;_ * &quot;-&quot;??_ ;_ @_ "/>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0.0000"/>
    <numFmt numFmtId="250" formatCode="_-* #,##0.00\ _$_-;\-* #,##0.00\ _$_-;_-* &quot;-&quot;??\ _$_-;_-@_-"/>
    <numFmt numFmtId="251" formatCode="&quot;$&quot;#,##0;\-&quot;$&quot;#,##0"/>
    <numFmt numFmtId="252" formatCode="&quot;True&quot;;&quot;True&quot;;&quot;False&quot;"/>
    <numFmt numFmtId="253" formatCode="_(* #,##0.0_);_(* \(#,##0.0\);_(* &quot;-&quot;?_);_(@_)"/>
    <numFmt numFmtId="254" formatCode="&quot;\&quot;#&quot;,&quot;##0&quot;.&quot;00;[Red]&quot;\&quot;\-#&quot;,&quot;##0&quot;.&quot;00"/>
    <numFmt numFmtId="255" formatCode="#,##0.00;[Red]#,##0.00"/>
    <numFmt numFmtId="256" formatCode="#,##0;\(#,##0\)"/>
    <numFmt numFmtId="257" formatCode="_._.* \(#,##0\)_%;_._.* #,##0_)_%;_._.* 0_)_%;_._.@_)_%"/>
    <numFmt numFmtId="258" formatCode="_._.&quot;€&quot;* \(#,##0\)_%;_._.&quot;€&quot;* #,##0_)_%;_._.&quot;€&quot;* 0_)_%;_._.@_)_%"/>
    <numFmt numFmtId="259" formatCode="* \(#,##0\);* #,##0_);&quot;-&quot;??_);@"/>
    <numFmt numFmtId="260" formatCode="_ &quot;R&quot;\ * #,##0_ ;_ &quot;R&quot;\ * \-#,##0_ ;_ &quot;R&quot;\ * &quot;-&quot;_ ;_ @_ "/>
    <numFmt numFmtId="261" formatCode="_ * #,##0.00_ ;_ * &quot;\&quot;&quot;\&quot;&quot;\&quot;&quot;\&quot;&quot;\&quot;&quot;\&quot;\-#,##0.00_ ;_ * &quot;-&quot;??_ ;_ @_ "/>
    <numFmt numFmtId="262" formatCode="&quot;€&quot;* #,##0_)_%;&quot;€&quot;* \(#,##0\)_%;&quot;€&quot;* &quot;-&quot;??_)_%;@_)_%"/>
    <numFmt numFmtId="263" formatCode="&quot;$&quot;* #,##0_)_%;&quot;$&quot;* \(#,##0\)_%;&quot;$&quot;* &quot;-&quot;??_)_%;@_)_%"/>
    <numFmt numFmtId="264" formatCode="&quot;\&quot;#,##0.00;&quot;\&quot;&quot;\&quot;&quot;\&quot;&quot;\&quot;&quot;\&quot;&quot;\&quot;&quot;\&quot;&quot;\&quot;\-#,##0.00"/>
    <numFmt numFmtId="265" formatCode="_._.&quot;€&quot;* #,##0.0_)_%;_._.&quot;€&quot;* \(#,##0.0\)_%"/>
    <numFmt numFmtId="266" formatCode="&quot;€&quot;* #,##0.0_)_%;&quot;€&quot;* \(#,##0.0\)_%;&quot;€&quot;* \ .0_)_%"/>
    <numFmt numFmtId="267" formatCode="_._.&quot;$&quot;* #,##0.0_)_%;_._.&quot;$&quot;* \(#,##0.0\)_%"/>
    <numFmt numFmtId="268" formatCode="_._.&quot;€&quot;* #,##0.00_)_%;_._.&quot;€&quot;* \(#,##0.00\)_%"/>
    <numFmt numFmtId="269" formatCode="&quot;€&quot;* #,##0.00_)_%;&quot;€&quot;* \(#,##0.00\)_%;&quot;€&quot;* \ .00_)_%"/>
    <numFmt numFmtId="270" formatCode="_._.&quot;$&quot;* #,##0.00_)_%;_._.&quot;$&quot;* \(#,##0.00\)_%"/>
    <numFmt numFmtId="271" formatCode="_._.&quot;€&quot;* #,##0.000_)_%;_._.&quot;€&quot;* \(#,##0.000\)_%"/>
    <numFmt numFmtId="272" formatCode="&quot;€&quot;* #,##0.000_)_%;&quot;€&quot;* \(#,##0.000\)_%;&quot;€&quot;* \ .000_)_%"/>
    <numFmt numFmtId="273" formatCode="_._.&quot;$&quot;* #,##0.000_)_%;_._.&quot;$&quot;* \(#,##0.000\)_%"/>
    <numFmt numFmtId="274" formatCode="_-* #,##0.00\ &quot;€&quot;_-;\-* #,##0.00\ &quot;€&quot;_-;_-* &quot;-&quot;??\ &quot;€&quot;_-;_-@_-"/>
    <numFmt numFmtId="275" formatCode="_ * #,##0_ ;_ * &quot;\&quot;&quot;\&quot;&quot;\&quot;&quot;\&quot;&quot;\&quot;&quot;\&quot;\-#,##0_ ;_ * &quot;-&quot;_ ;_ @_ "/>
    <numFmt numFmtId="276" formatCode="\$#,##0\ ;\(\$#,##0\)"/>
    <numFmt numFmtId="277" formatCode="&quot;$&quot;#,##0\ ;\(&quot;$&quot;#,##0\)"/>
    <numFmt numFmtId="278" formatCode="\t0.00%"/>
    <numFmt numFmtId="279" formatCode="0.000"/>
    <numFmt numFmtId="280" formatCode="* #,##0_);* \(#,##0\);&quot;-&quot;??_);@"/>
    <numFmt numFmtId="281" formatCode="\U\S\$#,##0.00;\(\U\S\$#,##0.00\)"/>
    <numFmt numFmtId="282" formatCode="_(\§\g\ #,##0_);_(\§\g\ \(#,##0\);_(\§\g\ &quot;-&quot;??_);_(@_)"/>
    <numFmt numFmtId="283" formatCode="_(\§\g\ #,##0_);_(\§\g\ \(#,##0\);_(\§\g\ &quot;-&quot;_);_(@_)"/>
    <numFmt numFmtId="284" formatCode="\§\g#,##0_);\(\§\g#,##0\)"/>
    <numFmt numFmtId="285" formatCode="_-&quot;VND&quot;* #,##0_-;\-&quot;VND&quot;* #,##0_-;_-&quot;VND&quot;* &quot;-&quot;_-;_-@_-"/>
    <numFmt numFmtId="286" formatCode="_(&quot;Rp&quot;* #,##0.00_);_(&quot;Rp&quot;* \(#,##0.00\);_(&quot;Rp&quot;* &quot;-&quot;??_);_(@_)"/>
    <numFmt numFmtId="287" formatCode="#,##0.00\ &quot;FB&quot;;[Red]\-#,##0.00\ &quot;FB&quot;"/>
    <numFmt numFmtId="288" formatCode="#,##0\ &quot;$&quot;;\-#,##0\ &quot;$&quot;"/>
    <numFmt numFmtId="289" formatCode="_-* #,##0\ _F_B_-;\-* #,##0\ _F_B_-;_-* &quot;-&quot;\ _F_B_-;_-@_-"/>
    <numFmt numFmtId="290" formatCode="_-[$€]* #,##0.00_-;\-[$€]* #,##0.00_-;_-[$€]* &quot;-&quot;??_-;_-@_-"/>
    <numFmt numFmtId="291" formatCode="_ * #,##0.00_)_d_ ;_ * \(#,##0.00\)_d_ ;_ * &quot;-&quot;??_)_d_ ;_ @_ "/>
    <numFmt numFmtId="292" formatCode="#,##0_);\-#,##0_)"/>
    <numFmt numFmtId="293" formatCode="#,###;\-#,###;&quot;&quot;;_(@_)"/>
    <numFmt numFmtId="294" formatCode="&quot;€&quot;#,##0;\-&quot;€&quot;#,##0"/>
    <numFmt numFmtId="295" formatCode="#,##0\ &quot;$&quot;_);\(#,##0\ &quot;$&quot;\)"/>
    <numFmt numFmtId="296" formatCode="#,###"/>
    <numFmt numFmtId="297" formatCode="&quot;Fr.&quot;\ #,##0.00;[Red]&quot;Fr.&quot;\ \-#,##0.00"/>
    <numFmt numFmtId="298" formatCode="_ &quot;Fr.&quot;\ * #,##0_ ;_ &quot;Fr.&quot;\ * \-#,##0_ ;_ &quot;Fr.&quot;\ * &quot;-&quot;_ ;_ @_ "/>
    <numFmt numFmtId="299" formatCode="&quot;\&quot;#,##0;[Red]\-&quot;\&quot;#,##0"/>
    <numFmt numFmtId="300" formatCode="&quot;\&quot;#,##0.00;\-&quot;\&quot;#,##0.00"/>
    <numFmt numFmtId="301" formatCode="&quot;VND&quot;#,##0_);[Red]\(&quot;VND&quot;#,##0\)"/>
    <numFmt numFmtId="302" formatCode="#,##0.00_);\-#,##0.00_)"/>
    <numFmt numFmtId="303" formatCode="0_)%;\(0\)%"/>
    <numFmt numFmtId="304" formatCode="_._._(* 0_)%;_._.* \(0\)%"/>
    <numFmt numFmtId="305" formatCode="_(0_)%;\(0\)%"/>
    <numFmt numFmtId="306" formatCode="0%_);\(0%\)"/>
    <numFmt numFmtId="307" formatCode="#,##0.000_);\(#,##0.000\)"/>
    <numFmt numFmtId="308" formatCode="_ &quot;\&quot;* #,##0_ ;_ &quot;\&quot;* &quot;\&quot;&quot;\&quot;&quot;\&quot;&quot;\&quot;&quot;\&quot;&quot;\&quot;&quot;\&quot;&quot;\&quot;&quot;\&quot;&quot;\&quot;&quot;\&quot;&quot;\&quot;&quot;\&quot;&quot;\&quot;\-#,##0_ ;_ &quot;\&quot;* &quot;-&quot;_ ;_ @_ "/>
    <numFmt numFmtId="309" formatCode="_(0.0_)%;\(0.0\)%"/>
    <numFmt numFmtId="310" formatCode="_._._(* 0.0_)%;_._.* \(0.0\)%"/>
    <numFmt numFmtId="311" formatCode="_(0.00_)%;\(0.00\)%"/>
    <numFmt numFmtId="312" formatCode="_._._(* 0.00_)%;_._.* \(0.00\)%"/>
    <numFmt numFmtId="313" formatCode="_(0.000_)%;\(0.000\)%"/>
    <numFmt numFmtId="314" formatCode="_._._(* 0.000_)%;_._.* \(0.000\)%"/>
    <numFmt numFmtId="315" formatCode="#"/>
    <numFmt numFmtId="316" formatCode="&quot;¡Ì&quot;#,##0;[Red]\-&quot;¡Ì&quot;#,##0"/>
    <numFmt numFmtId="317" formatCode="#,##0.00\ &quot;F&quot;;[Red]\-#,##0.00\ &quot;F&quot;"/>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0.0"/>
    <numFmt numFmtId="340" formatCode="#,##0.000"/>
    <numFmt numFmtId="341" formatCode="0.00_)"/>
  </numFmts>
  <fonts count="315">
    <font>
      <sz val="11"/>
      <color theme="1"/>
      <name val="Arial"/>
      <family val="2"/>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0"/>
      <name val="Arial"/>
      <family val="2"/>
    </font>
    <font>
      <b/>
      <sz val="16"/>
      <name val="Times New Roman"/>
      <family val="1"/>
    </font>
    <font>
      <sz val="11"/>
      <color theme="1"/>
      <name val="Arial"/>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Arial"/>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Arial"/>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1"/>
      <name val="Times New Roman"/>
      <family val="1"/>
      <charset val="163"/>
    </font>
    <font>
      <i/>
      <sz val="11"/>
      <name val="Times New Roman"/>
      <family val="1"/>
      <charset val="163"/>
    </font>
    <font>
      <i/>
      <sz val="11"/>
      <name val="Times New Roman"/>
      <family val="1"/>
    </font>
    <font>
      <b/>
      <i/>
      <sz val="12"/>
      <name val="Times New Roman"/>
      <family val="1"/>
    </font>
    <font>
      <sz val="12"/>
      <name val="Times New Roman"/>
      <family val="1"/>
      <charset val="163"/>
    </font>
    <font>
      <sz val="10"/>
      <name val="Arial"/>
      <family val="2"/>
      <charset val="163"/>
    </font>
    <font>
      <u/>
      <sz val="12"/>
      <name val="Times New Roman"/>
      <family val="1"/>
    </font>
    <font>
      <b/>
      <sz val="12"/>
      <color indexed="30"/>
      <name val="Times New Roman"/>
      <family val="1"/>
      <charset val="163"/>
    </font>
    <font>
      <b/>
      <i/>
      <sz val="12"/>
      <color indexed="30"/>
      <name val="Times New Roman"/>
      <family val="1"/>
      <charset val="163"/>
    </font>
    <font>
      <sz val="12"/>
      <color indexed="30"/>
      <name val="Times New Roman"/>
      <family val="1"/>
    </font>
    <font>
      <b/>
      <i/>
      <sz val="12"/>
      <color indexed="30"/>
      <name val="Times New Roman"/>
      <family val="1"/>
    </font>
    <font>
      <b/>
      <i/>
      <sz val="12"/>
      <color indexed="10"/>
      <name val="Times New Roman"/>
      <family val="1"/>
    </font>
    <font>
      <i/>
      <sz val="12"/>
      <color indexed="30"/>
      <name val="Times New Roman"/>
      <family val="1"/>
    </font>
    <font>
      <sz val="12"/>
      <color indexed="30"/>
      <name val="Times New Roman"/>
      <family val="1"/>
      <charset val="163"/>
    </font>
    <font>
      <b/>
      <sz val="12"/>
      <color indexed="30"/>
      <name val="Times New Roman"/>
      <family val="1"/>
    </font>
    <font>
      <i/>
      <sz val="12"/>
      <color indexed="10"/>
      <name val="Times New Roman"/>
      <family val="1"/>
    </font>
    <font>
      <b/>
      <u/>
      <sz val="12"/>
      <name val="Times New Roman"/>
      <family val="1"/>
    </font>
    <font>
      <i/>
      <sz val="12"/>
      <name val="Times New Roman"/>
      <family val="1"/>
      <charset val="163"/>
    </font>
    <font>
      <sz val="12"/>
      <name val=".VnArial Narrow"/>
      <family val="2"/>
    </font>
    <font>
      <b/>
      <u/>
      <sz val="12"/>
      <name val="Times New Roman"/>
      <family val="1"/>
      <charset val="163"/>
    </font>
    <font>
      <b/>
      <sz val="12"/>
      <name val="Times New Roman"/>
      <family val="1"/>
      <charset val="163"/>
    </font>
    <font>
      <b/>
      <i/>
      <sz val="12"/>
      <name val="Times New Roman"/>
      <family val="1"/>
      <charset val="163"/>
    </font>
    <font>
      <i/>
      <sz val="11"/>
      <color theme="1"/>
      <name val="Times New Roman"/>
      <family val="1"/>
      <charset val="163"/>
    </font>
    <font>
      <sz val="12"/>
      <color theme="1"/>
      <name val="Times New Roman"/>
      <family val="1"/>
    </font>
    <font>
      <sz val="11"/>
      <color theme="1"/>
      <name val="Arial"/>
      <family val="2"/>
      <charset val="163"/>
    </font>
    <font>
      <sz val="10"/>
      <name val="Arial"/>
      <family val="2"/>
      <charset val="163"/>
    </font>
    <font>
      <sz val="11"/>
      <color indexed="8"/>
      <name val="Arial"/>
      <family val="2"/>
      <charset val="163"/>
    </font>
    <font>
      <sz val="10"/>
      <name val="VNbook-Antiqua"/>
      <family val="2"/>
    </font>
    <font>
      <sz val="8"/>
      <color indexed="12"/>
      <name val="Helv"/>
    </font>
    <font>
      <sz val="11"/>
      <color indexed="14"/>
      <name val="Calibri"/>
      <family val="2"/>
      <charset val="163"/>
    </font>
    <font>
      <sz val="12"/>
      <color indexed="8"/>
      <name val="Times New Roman"/>
      <family val="2"/>
      <charset val="163"/>
    </font>
    <font>
      <sz val="11"/>
      <color rgb="FF006100"/>
      <name val="Calibri"/>
      <family val="2"/>
      <charset val="163"/>
    </font>
    <font>
      <sz val="11"/>
      <color rgb="FF9C6500"/>
      <name val="Calibri"/>
      <family val="2"/>
      <charset val="163"/>
    </font>
    <font>
      <sz val="11"/>
      <color rgb="FF000000"/>
      <name val="Calibri"/>
      <family val="2"/>
    </font>
    <font>
      <sz val="16"/>
      <color rgb="FF0000FF"/>
      <name val="Times New Roman"/>
      <family val="1"/>
    </font>
    <font>
      <b/>
      <sz val="16"/>
      <color rgb="FF000099"/>
      <name val="Times New Roman"/>
      <family val="1"/>
    </font>
    <font>
      <sz val="16"/>
      <color rgb="FF000099"/>
      <name val="Times New Roman"/>
      <family val="1"/>
    </font>
    <font>
      <b/>
      <sz val="16"/>
      <color rgb="FF0000FF"/>
      <name val="Times New Roman"/>
      <family val="1"/>
    </font>
    <font>
      <sz val="16"/>
      <color rgb="FFFF0000"/>
      <name val="Times New Roman"/>
      <family val="1"/>
    </font>
    <font>
      <i/>
      <sz val="16"/>
      <name val="Times New Roman"/>
      <family val="1"/>
      <charset val="163"/>
    </font>
    <font>
      <b/>
      <sz val="15"/>
      <name val="Times New Roman"/>
      <family val="1"/>
    </font>
    <font>
      <b/>
      <i/>
      <sz val="15"/>
      <name val="Times New Roman"/>
      <family val="1"/>
    </font>
  </fonts>
  <fills count="5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style="thin">
        <color indexed="64"/>
      </right>
      <top/>
      <bottom/>
      <diagonal/>
    </border>
  </borders>
  <cellStyleXfs count="5031">
    <xf numFmtId="0" fontId="0" fillId="0" borderId="0"/>
    <xf numFmtId="0" fontId="4" fillId="0" borderId="0"/>
    <xf numFmtId="0" fontId="4" fillId="0" borderId="0"/>
    <xf numFmtId="0" fontId="4" fillId="0" borderId="0"/>
    <xf numFmtId="0" fontId="42" fillId="0" borderId="0"/>
    <xf numFmtId="175" fontId="4"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8"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9" fillId="0" borderId="0" applyNumberFormat="0" applyFill="0" applyBorder="0" applyProtection="0">
      <alignment vertical="top"/>
    </xf>
    <xf numFmtId="0" fontId="48" fillId="0" borderId="0"/>
    <xf numFmtId="0" fontId="42" fillId="0" borderId="0"/>
    <xf numFmtId="9" fontId="4" fillId="0" borderId="0" applyFont="0" applyFill="0" applyBorder="0" applyAlignment="0" applyProtection="0"/>
    <xf numFmtId="0" fontId="3" fillId="0" borderId="0"/>
    <xf numFmtId="0" fontId="6" fillId="0" borderId="0"/>
    <xf numFmtId="0" fontId="6" fillId="0" borderId="0"/>
    <xf numFmtId="177" fontId="66"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0" fontId="67" fillId="0" borderId="0"/>
    <xf numFmtId="0" fontId="67" fillId="0" borderId="0"/>
    <xf numFmtId="3" fontId="68" fillId="0" borderId="2"/>
    <xf numFmtId="3" fontId="68" fillId="0" borderId="2"/>
    <xf numFmtId="178" fontId="69" fillId="0" borderId="17" applyFont="0" applyBorder="0"/>
    <xf numFmtId="178" fontId="70" fillId="0" borderId="0" applyProtection="0"/>
    <xf numFmtId="178" fontId="71" fillId="0" borderId="17" applyFont="0" applyBorder="0"/>
    <xf numFmtId="0" fontId="72" fillId="0" borderId="0"/>
    <xf numFmtId="179" fontId="73" fillId="0" borderId="0" applyFont="0" applyFill="0" applyBorder="0" applyAlignment="0" applyProtection="0"/>
    <xf numFmtId="0" fontId="74" fillId="0" borderId="0" applyFont="0" applyFill="0" applyBorder="0" applyAlignment="0" applyProtection="0"/>
    <xf numFmtId="180" fontId="4" fillId="0" borderId="0" applyFont="0" applyFill="0" applyBorder="0" applyAlignment="0" applyProtection="0"/>
    <xf numFmtId="181"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6" fillId="0" borderId="0" applyFont="0" applyFill="0" applyBorder="0" applyAlignment="0" applyProtection="0"/>
    <xf numFmtId="0" fontId="77" fillId="0" borderId="18"/>
    <xf numFmtId="183" fontId="72" fillId="0" borderId="0" applyFont="0" applyFill="0" applyBorder="0" applyAlignment="0" applyProtection="0"/>
    <xf numFmtId="173" fontId="78" fillId="0" borderId="0" applyFont="0" applyFill="0" applyBorder="0" applyAlignment="0" applyProtection="0"/>
    <xf numFmtId="174" fontId="78" fillId="0" borderId="0" applyFont="0" applyFill="0" applyBorder="0" applyAlignment="0" applyProtection="0"/>
    <xf numFmtId="184" fontId="79" fillId="0" borderId="0" applyFont="0" applyFill="0" applyBorder="0" applyAlignment="0" applyProtection="0"/>
    <xf numFmtId="0" fontId="8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81" fillId="0" borderId="0"/>
    <xf numFmtId="0" fontId="4" fillId="0" borderId="0" applyProtection="0"/>
    <xf numFmtId="0" fontId="8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83" fillId="0" borderId="0" applyNumberFormat="0" applyFill="0" applyBorder="0" applyProtection="0">
      <alignment vertical="center"/>
    </xf>
    <xf numFmtId="173" fontId="48" fillId="0" borderId="0" applyFont="0" applyFill="0" applyBorder="0" applyAlignment="0" applyProtection="0"/>
    <xf numFmtId="185" fontId="73" fillId="0" borderId="0" applyFont="0" applyFill="0" applyBorder="0" applyAlignment="0" applyProtection="0"/>
    <xf numFmtId="186" fontId="66"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7" fontId="48" fillId="0" borderId="0" applyFont="0" applyFill="0" applyBorder="0" applyAlignment="0" applyProtection="0"/>
    <xf numFmtId="166"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166" fontId="73" fillId="0" borderId="0" applyFont="0" applyFill="0" applyBorder="0" applyAlignment="0" applyProtection="0"/>
    <xf numFmtId="185" fontId="73" fillId="0" borderId="0" applyFont="0" applyFill="0" applyBorder="0" applyAlignment="0" applyProtection="0"/>
    <xf numFmtId="0" fontId="84" fillId="0" borderId="0"/>
    <xf numFmtId="166" fontId="73" fillId="0" borderId="0" applyFont="0" applyFill="0" applyBorder="0" applyAlignment="0" applyProtection="0"/>
    <xf numFmtId="0" fontId="85" fillId="0" borderId="0">
      <alignment vertical="top"/>
    </xf>
    <xf numFmtId="0" fontId="86" fillId="0" borderId="0">
      <alignment vertical="top"/>
    </xf>
    <xf numFmtId="0" fontId="86" fillId="0" borderId="0">
      <alignment vertical="top"/>
    </xf>
    <xf numFmtId="0" fontId="72" fillId="0" borderId="0" applyNumberFormat="0" applyFill="0" applyBorder="0" applyAlignment="0" applyProtection="0"/>
    <xf numFmtId="179" fontId="66" fillId="0" borderId="0" applyFon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84" fillId="0" borderId="0"/>
    <xf numFmtId="185"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166" fontId="73"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166"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0" fontId="84" fillId="0" borderId="0"/>
    <xf numFmtId="190"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86" fontId="66" fillId="0" borderId="0" applyFon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77" fontId="66" fillId="0" borderId="0" applyFont="0" applyFill="0" applyBorder="0" applyAlignment="0" applyProtection="0"/>
    <xf numFmtId="174" fontId="66"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43"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69" fontId="73" fillId="0" borderId="0" applyFont="0" applyFill="0" applyBorder="0" applyAlignment="0" applyProtection="0"/>
    <xf numFmtId="19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73" fontId="66" fillId="0" borderId="0" applyFon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66"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85"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43"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69" fontId="73" fillId="0" borderId="0" applyFont="0" applyFill="0" applyBorder="0" applyAlignment="0" applyProtection="0"/>
    <xf numFmtId="19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74" fontId="66"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66"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202" fontId="73" fillId="0" borderId="0" applyFont="0" applyFill="0" applyBorder="0" applyAlignment="0" applyProtection="0"/>
    <xf numFmtId="173" fontId="66"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85" fontId="73" fillId="0" borderId="0" applyFont="0" applyFill="0" applyBorder="0" applyAlignment="0" applyProtection="0"/>
    <xf numFmtId="174" fontId="66"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43"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69" fontId="73" fillId="0" borderId="0" applyFont="0" applyFill="0" applyBorder="0" applyAlignment="0" applyProtection="0"/>
    <xf numFmtId="19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73" fontId="66"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77" fontId="66"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0" fontId="84" fillId="0" borderId="0"/>
    <xf numFmtId="0" fontId="84" fillId="0" borderId="0"/>
    <xf numFmtId="185" fontId="73" fillId="0" borderId="0" applyFont="0" applyFill="0" applyBorder="0" applyAlignment="0" applyProtection="0"/>
    <xf numFmtId="0" fontId="84" fillId="0" borderId="0"/>
    <xf numFmtId="0" fontId="84" fillId="0" borderId="0"/>
    <xf numFmtId="0" fontId="84" fillId="0" borderId="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84" fillId="0" borderId="0"/>
    <xf numFmtId="202"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73" fontId="66"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43"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69" fontId="73" fillId="0" borderId="0" applyFont="0" applyFill="0" applyBorder="0" applyAlignment="0" applyProtection="0"/>
    <xf numFmtId="19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77" fontId="66" fillId="0" borderId="0" applyFont="0" applyFill="0" applyBorder="0" applyAlignment="0" applyProtection="0"/>
    <xf numFmtId="174" fontId="66"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4" fillId="0" borderId="0"/>
    <xf numFmtId="0" fontId="86"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7" fontId="70" fillId="0" borderId="0" applyProtection="0"/>
    <xf numFmtId="186" fontId="70" fillId="0" borderId="0" applyProtection="0"/>
    <xf numFmtId="186" fontId="70" fillId="0" borderId="0" applyProtection="0"/>
    <xf numFmtId="0" fontId="67" fillId="0" borderId="0" applyProtection="0"/>
    <xf numFmtId="177" fontId="70" fillId="0" borderId="0" applyProtection="0"/>
    <xf numFmtId="186" fontId="70" fillId="0" borderId="0" applyProtection="0"/>
    <xf numFmtId="186" fontId="70" fillId="0" borderId="0" applyProtection="0"/>
    <xf numFmtId="0" fontId="67" fillId="0" borderId="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0" fontId="84" fillId="0" borderId="0"/>
    <xf numFmtId="185" fontId="73" fillId="0" borderId="0" applyFont="0" applyFill="0" applyBorder="0" applyAlignment="0" applyProtection="0"/>
    <xf numFmtId="0" fontId="84" fillId="0" borderId="0"/>
    <xf numFmtId="211" fontId="89" fillId="0" borderId="0" applyFont="0" applyFill="0" applyBorder="0" applyAlignment="0" applyProtection="0"/>
    <xf numFmtId="212" fontId="90" fillId="0" borderId="0" applyFont="0" applyFill="0" applyBorder="0" applyAlignment="0" applyProtection="0"/>
    <xf numFmtId="213" fontId="90" fillId="0" borderId="0" applyFont="0" applyFill="0" applyBorder="0" applyAlignment="0" applyProtection="0"/>
    <xf numFmtId="0" fontId="91" fillId="0" borderId="0"/>
    <xf numFmtId="0" fontId="92" fillId="0" borderId="0"/>
    <xf numFmtId="0" fontId="92" fillId="0" borderId="0"/>
    <xf numFmtId="0" fontId="92" fillId="0" borderId="0"/>
    <xf numFmtId="0" fontId="32" fillId="0" borderId="0"/>
    <xf numFmtId="1" fontId="93" fillId="0" borderId="2" applyBorder="0" applyAlignment="0">
      <alignment horizontal="center"/>
    </xf>
    <xf numFmtId="1" fontId="93" fillId="0" borderId="2" applyBorder="0" applyAlignment="0">
      <alignment horizontal="center"/>
    </xf>
    <xf numFmtId="0" fontId="94" fillId="0" borderId="0"/>
    <xf numFmtId="0" fontId="94" fillId="0" borderId="0"/>
    <xf numFmtId="0" fontId="4" fillId="0" borderId="0"/>
    <xf numFmtId="0" fontId="95" fillId="0" borderId="0"/>
    <xf numFmtId="0" fontId="94" fillId="0" borderId="0" applyProtection="0"/>
    <xf numFmtId="3" fontId="68" fillId="0" borderId="2"/>
    <xf numFmtId="3" fontId="68" fillId="0" borderId="2"/>
    <xf numFmtId="3" fontId="68" fillId="0" borderId="2"/>
    <xf numFmtId="3" fontId="68" fillId="0" borderId="2"/>
    <xf numFmtId="211" fontId="89" fillId="0" borderId="0" applyFont="0" applyFill="0" applyBorder="0" applyAlignment="0" applyProtection="0"/>
    <xf numFmtId="0" fontId="96" fillId="3" borderId="0"/>
    <xf numFmtId="0" fontId="96" fillId="3" borderId="0"/>
    <xf numFmtId="0" fontId="96" fillId="3" borderId="0"/>
    <xf numFmtId="211" fontId="89" fillId="0" borderId="0" applyFont="0" applyFill="0" applyBorder="0" applyAlignment="0" applyProtection="0"/>
    <xf numFmtId="0" fontId="9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211" fontId="89" fillId="0" borderId="0" applyFont="0" applyFill="0" applyBorder="0" applyAlignment="0" applyProtection="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8" fillId="0" borderId="0" applyFont="0" applyFill="0" applyBorder="0" applyAlignment="0">
      <alignment horizontal="left"/>
    </xf>
    <xf numFmtId="0" fontId="96" fillId="3" borderId="0"/>
    <xf numFmtId="0" fontId="98" fillId="0" borderId="0" applyFont="0" applyFill="0" applyBorder="0" applyAlignment="0">
      <alignment horizontal="left"/>
    </xf>
    <xf numFmtId="211" fontId="89" fillId="0" borderId="0" applyFont="0" applyFill="0" applyBorder="0" applyAlignment="0" applyProtection="0"/>
    <xf numFmtId="0" fontId="96" fillId="3" borderId="0"/>
    <xf numFmtId="0" fontId="96" fillId="3" borderId="0"/>
    <xf numFmtId="0" fontId="99" fillId="0" borderId="2" applyNumberFormat="0" applyFont="0" applyBorder="0">
      <alignment horizontal="left" indent="2"/>
    </xf>
    <xf numFmtId="0" fontId="99" fillId="0" borderId="2" applyNumberFormat="0" applyFont="0" applyBorder="0">
      <alignment horizontal="left" indent="2"/>
    </xf>
    <xf numFmtId="0" fontId="98" fillId="0" borderId="0" applyFont="0" applyFill="0" applyBorder="0" applyAlignment="0">
      <alignment horizontal="left"/>
    </xf>
    <xf numFmtId="0" fontId="98" fillId="0" borderId="0" applyFont="0" applyFill="0" applyBorder="0" applyAlignment="0">
      <alignment horizontal="left"/>
    </xf>
    <xf numFmtId="0" fontId="100" fillId="0" borderId="0"/>
    <xf numFmtId="0" fontId="101" fillId="4" borderId="19" applyFont="0" applyFill="0" applyAlignment="0">
      <alignment vertical="center" wrapText="1"/>
    </xf>
    <xf numFmtId="9" fontId="102" fillId="0" borderId="0" applyBorder="0" applyAlignment="0" applyProtection="0"/>
    <xf numFmtId="0" fontId="103" fillId="3" borderId="0"/>
    <xf numFmtId="0" fontId="103"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3" fillId="3" borderId="0"/>
    <xf numFmtId="0" fontId="103" fillId="3" borderId="0"/>
    <xf numFmtId="0" fontId="99" fillId="0" borderId="2" applyNumberFormat="0" applyFont="0" applyBorder="0" applyAlignment="0">
      <alignment horizontal="center"/>
    </xf>
    <xf numFmtId="0" fontId="99" fillId="0" borderId="2" applyNumberFormat="0" applyFont="0" applyBorder="0" applyAlignment="0">
      <alignment horizontal="center"/>
    </xf>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5" fillId="0" borderId="0"/>
    <xf numFmtId="0" fontId="106" fillId="3" borderId="0"/>
    <xf numFmtId="0" fontId="10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6" fillId="3" borderId="0"/>
    <xf numFmtId="0" fontId="107" fillId="0" borderId="0">
      <alignment wrapText="1"/>
    </xf>
    <xf numFmtId="0" fontId="10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107" fillId="0" borderId="0">
      <alignment wrapText="1"/>
    </xf>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8" borderId="0" applyNumberFormat="0" applyBorder="0" applyAlignment="0" applyProtection="0"/>
    <xf numFmtId="0" fontId="104" fillId="11" borderId="0" applyNumberFormat="0" applyBorder="0" applyAlignment="0" applyProtection="0"/>
    <xf numFmtId="0" fontId="104" fillId="14" borderId="0" applyNumberFormat="0" applyBorder="0" applyAlignment="0" applyProtection="0"/>
    <xf numFmtId="178" fontId="108" fillId="0" borderId="1" applyNumberFormat="0" applyFont="0" applyBorder="0" applyAlignment="0">
      <alignment horizontal="center"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15"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2" borderId="0" applyNumberFormat="0" applyBorder="0" applyAlignment="0" applyProtection="0"/>
    <xf numFmtId="214" fontId="111" fillId="0" borderId="0" applyFont="0" applyFill="0" applyBorder="0" applyAlignment="0" applyProtection="0"/>
    <xf numFmtId="0" fontId="112" fillId="0" borderId="0" applyFont="0" applyFill="0" applyBorder="0" applyAlignment="0" applyProtection="0"/>
    <xf numFmtId="171" fontId="113" fillId="0" borderId="0" applyFont="0" applyFill="0" applyBorder="0" applyAlignment="0" applyProtection="0"/>
    <xf numFmtId="206" fontId="111" fillId="0" borderId="0" applyFont="0" applyFill="0" applyBorder="0" applyAlignment="0" applyProtection="0"/>
    <xf numFmtId="0" fontId="112" fillId="0" borderId="0" applyFont="0" applyFill="0" applyBorder="0" applyAlignment="0" applyProtection="0"/>
    <xf numFmtId="215" fontId="111" fillId="0" borderId="0" applyFont="0" applyFill="0" applyBorder="0" applyAlignment="0" applyProtection="0"/>
    <xf numFmtId="0" fontId="114" fillId="0" borderId="0">
      <alignment horizontal="center" wrapText="1"/>
      <protection locked="0"/>
    </xf>
    <xf numFmtId="0" fontId="40" fillId="0" borderId="0">
      <alignment horizontal="center" wrapText="1"/>
      <protection locked="0"/>
    </xf>
    <xf numFmtId="0" fontId="115" fillId="0" borderId="0" applyNumberFormat="0" applyBorder="0" applyAlignment="0">
      <alignment horizontal="center"/>
    </xf>
    <xf numFmtId="204" fontId="116" fillId="0" borderId="0" applyFont="0" applyFill="0" applyBorder="0" applyAlignment="0" applyProtection="0"/>
    <xf numFmtId="0" fontId="117" fillId="0" borderId="0" applyFont="0" applyFill="0" applyBorder="0" applyAlignment="0" applyProtection="0"/>
    <xf numFmtId="216" fontId="73" fillId="0" borderId="0" applyFont="0" applyFill="0" applyBorder="0" applyAlignment="0" applyProtection="0"/>
    <xf numFmtId="194" fontId="116" fillId="0" borderId="0" applyFont="0" applyFill="0" applyBorder="0" applyAlignment="0" applyProtection="0"/>
    <xf numFmtId="0" fontId="117" fillId="0" borderId="0" applyFont="0" applyFill="0" applyBorder="0" applyAlignment="0" applyProtection="0"/>
    <xf numFmtId="217" fontId="73"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0" fontId="118" fillId="6" borderId="0" applyNumberFormat="0" applyBorder="0" applyAlignment="0" applyProtection="0"/>
    <xf numFmtId="0" fontId="119" fillId="0" borderId="0" applyNumberFormat="0" applyFill="0" applyBorder="0" applyAlignment="0" applyProtection="0"/>
    <xf numFmtId="0" fontId="117" fillId="0" borderId="0"/>
    <xf numFmtId="0" fontId="120" fillId="0" borderId="0"/>
    <xf numFmtId="0" fontId="121" fillId="0" borderId="0"/>
    <xf numFmtId="0" fontId="117" fillId="0" borderId="0"/>
    <xf numFmtId="0" fontId="122" fillId="0" borderId="0"/>
    <xf numFmtId="0" fontId="123" fillId="0" borderId="0"/>
    <xf numFmtId="0" fontId="124" fillId="0" borderId="0"/>
    <xf numFmtId="218" fontId="87" fillId="0" borderId="0" applyFill="0" applyBorder="0" applyAlignment="0"/>
    <xf numFmtId="219" fontId="48"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2"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105"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12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125"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26" fillId="23" borderId="20" applyNumberFormat="0" applyAlignment="0" applyProtection="0"/>
    <xf numFmtId="0" fontId="127" fillId="0" borderId="0"/>
    <xf numFmtId="0" fontId="128" fillId="0" borderId="0"/>
    <xf numFmtId="0" fontId="129" fillId="0" borderId="0" applyFill="0" applyBorder="0" applyProtection="0">
      <alignment horizontal="center"/>
      <protection locked="0"/>
    </xf>
    <xf numFmtId="232" fontId="73" fillId="0" borderId="0" applyFont="0" applyFill="0" applyBorder="0" applyAlignment="0" applyProtection="0"/>
    <xf numFmtId="0" fontId="130" fillId="0" borderId="6">
      <alignment horizontal="center"/>
    </xf>
    <xf numFmtId="233" fontId="131" fillId="0" borderId="0"/>
    <xf numFmtId="233" fontId="131" fillId="0" borderId="0"/>
    <xf numFmtId="233" fontId="131" fillId="0" borderId="0"/>
    <xf numFmtId="233" fontId="131" fillId="0" borderId="0"/>
    <xf numFmtId="233" fontId="131" fillId="0" borderId="0"/>
    <xf numFmtId="233" fontId="131" fillId="0" borderId="0"/>
    <xf numFmtId="233" fontId="131" fillId="0" borderId="0"/>
    <xf numFmtId="233" fontId="131" fillId="0" borderId="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167" fontId="4" fillId="0" borderId="0" applyFont="0" applyFill="0" applyBorder="0" applyAlignment="0" applyProtection="0"/>
    <xf numFmtId="167" fontId="132" fillId="0" borderId="0" applyFont="0" applyFill="0" applyBorder="0" applyAlignment="0" applyProtection="0"/>
    <xf numFmtId="173" fontId="110"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20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235" fontId="70" fillId="0" borderId="0" applyProtection="0"/>
    <xf numFmtId="235" fontId="70" fillId="0" borderId="0" applyProtection="0"/>
    <xf numFmtId="20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5" fontId="70" fillId="0" borderId="0" applyFont="0" applyFill="0" applyBorder="0" applyAlignment="0" applyProtection="0"/>
    <xf numFmtId="174" fontId="70" fillId="0" borderId="0" applyFont="0" applyFill="0" applyBorder="0" applyAlignment="0" applyProtection="0"/>
    <xf numFmtId="167" fontId="42" fillId="0" borderId="0" applyFont="0" applyFill="0" applyBorder="0" applyAlignment="0" applyProtection="0"/>
    <xf numFmtId="173" fontId="7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28" fontId="125"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6" fontId="133" fillId="0" borderId="0" applyFont="0" applyFill="0" applyBorder="0" applyAlignment="0" applyProtection="0"/>
    <xf numFmtId="237" fontId="70" fillId="0" borderId="0" applyFont="0" applyFill="0" applyBorder="0" applyAlignment="0" applyProtection="0"/>
    <xf numFmtId="238" fontId="134" fillId="0" borderId="0" applyFont="0" applyFill="0" applyBorder="0" applyAlignment="0" applyProtection="0"/>
    <xf numFmtId="239" fontId="70" fillId="0" borderId="0" applyFont="0" applyFill="0" applyBorder="0" applyAlignment="0" applyProtection="0"/>
    <xf numFmtId="240" fontId="134" fillId="0" borderId="0" applyFont="0" applyFill="0" applyBorder="0" applyAlignment="0" applyProtection="0"/>
    <xf numFmtId="241" fontId="70" fillId="0" borderId="0" applyFont="0" applyFill="0" applyBorder="0" applyAlignment="0" applyProtection="0"/>
    <xf numFmtId="174"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43" fontId="42" fillId="0" borderId="0" applyFont="0" applyFill="0" applyBorder="0" applyAlignment="0" applyProtection="0"/>
    <xf numFmtId="242" fontId="42" fillId="0" borderId="0" applyFont="0" applyFill="0" applyBorder="0" applyAlignment="0" applyProtection="0"/>
    <xf numFmtId="169" fontId="42" fillId="0" borderId="0" applyFont="0" applyFill="0" applyBorder="0" applyAlignment="0" applyProtection="0"/>
    <xf numFmtId="177" fontId="4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73"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35"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7" fontId="42" fillId="0" borderId="0" applyFont="0" applyFill="0" applyBorder="0" applyAlignment="0" applyProtection="0"/>
    <xf numFmtId="243" fontId="42" fillId="0" borderId="0" applyFont="0" applyFill="0" applyBorder="0" applyAlignment="0" applyProtection="0"/>
    <xf numFmtId="169" fontId="42" fillId="0" borderId="0" applyFont="0" applyFill="0" applyBorder="0" applyAlignment="0" applyProtection="0"/>
    <xf numFmtId="244" fontId="42" fillId="0" borderId="0" applyFont="0" applyFill="0" applyBorder="0" applyAlignment="0" applyProtection="0"/>
    <xf numFmtId="173"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244" fontId="42" fillId="0" borderId="0" applyFont="0" applyFill="0" applyBorder="0" applyAlignment="0" applyProtection="0"/>
    <xf numFmtId="245" fontId="42" fillId="0" borderId="0" applyFont="0" applyFill="0" applyBorder="0" applyAlignment="0" applyProtection="0"/>
    <xf numFmtId="245" fontId="42" fillId="0" borderId="0" applyFont="0" applyFill="0" applyBorder="0" applyAlignment="0" applyProtection="0"/>
    <xf numFmtId="169" fontId="4" fillId="0" borderId="0" applyFont="0" applyFill="0" applyBorder="0" applyAlignment="0" applyProtection="0"/>
    <xf numFmtId="169" fontId="38" fillId="0" borderId="0" applyFont="0" applyFill="0" applyBorder="0" applyAlignment="0" applyProtection="0"/>
    <xf numFmtId="245" fontId="42" fillId="0" borderId="0" applyFont="0" applyFill="0" applyBorder="0" applyAlignment="0" applyProtection="0"/>
    <xf numFmtId="245" fontId="42"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4" fillId="0" borderId="0" applyFont="0" applyFill="0" applyBorder="0" applyAlignment="0" applyProtection="0"/>
    <xf numFmtId="169" fontId="7"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4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136" fillId="0" borderId="0" applyFont="0" applyFill="0" applyBorder="0" applyAlignment="0" applyProtection="0"/>
    <xf numFmtId="169" fontId="42" fillId="0" borderId="0" applyFont="0" applyFill="0" applyBorder="0" applyAlignment="0" applyProtection="0"/>
    <xf numFmtId="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3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74" fontId="42" fillId="0" borderId="0" applyFont="0" applyFill="0" applyBorder="0" applyAlignment="0" applyProtection="0"/>
    <xf numFmtId="169" fontId="6" fillId="0" borderId="0" applyFont="0" applyFill="0" applyBorder="0" applyAlignment="0" applyProtection="0"/>
    <xf numFmtId="213" fontId="4" fillId="0" borderId="0" applyFont="0" applyFill="0" applyBorder="0" applyAlignment="0" applyProtection="0"/>
    <xf numFmtId="169" fontId="42" fillId="0" borderId="0" applyFont="0" applyFill="0" applyBorder="0" applyAlignment="0" applyProtection="0"/>
    <xf numFmtId="246" fontId="42" fillId="0" borderId="0" applyFont="0" applyFill="0" applyBorder="0" applyAlignment="0" applyProtection="0"/>
    <xf numFmtId="247" fontId="42" fillId="0" borderId="0" applyFont="0" applyFill="0" applyBorder="0" applyAlignment="0" applyProtection="0"/>
    <xf numFmtId="246" fontId="42" fillId="0" borderId="0" applyFont="0" applyFill="0" applyBorder="0" applyAlignment="0" applyProtection="0"/>
    <xf numFmtId="169" fontId="42" fillId="0" borderId="0" applyFont="0" applyFill="0" applyBorder="0" applyAlignment="0" applyProtection="0"/>
    <xf numFmtId="169" fontId="135" fillId="0" borderId="0" applyFont="0" applyFill="0" applyBorder="0" applyAlignment="0" applyProtection="0"/>
    <xf numFmtId="169" fontId="42" fillId="0" borderId="0" applyFont="0" applyFill="0" applyBorder="0" applyAlignment="0" applyProtection="0"/>
    <xf numFmtId="248" fontId="4" fillId="0" borderId="0" applyFont="0" applyFill="0" applyBorder="0" applyAlignment="0" applyProtection="0"/>
    <xf numFmtId="169" fontId="42" fillId="0" borderId="0" applyFont="0" applyFill="0" applyBorder="0" applyAlignment="0" applyProtection="0"/>
    <xf numFmtId="169" fontId="48"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5" fontId="4" fillId="0" borderId="0" applyFont="0" applyFill="0" applyBorder="0" applyAlignment="0" applyProtection="0"/>
    <xf numFmtId="168" fontId="70" fillId="0" borderId="0" applyFont="0" applyFill="0" applyBorder="0" applyAlignment="0" applyProtection="0"/>
    <xf numFmtId="169" fontId="7" fillId="0" borderId="0" applyFont="0" applyFill="0" applyBorder="0" applyAlignment="0" applyProtection="0"/>
    <xf numFmtId="0" fontId="42" fillId="0" borderId="0" applyFont="0" applyFill="0" applyBorder="0" applyAlignment="0" applyProtection="0"/>
    <xf numFmtId="249" fontId="7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49" fontId="70" fillId="0" borderId="0" applyFont="0" applyFill="0" applyBorder="0" applyAlignment="0" applyProtection="0"/>
    <xf numFmtId="250" fontId="91" fillId="0" borderId="0" applyFont="0" applyFill="0" applyBorder="0" applyAlignment="0" applyProtection="0"/>
    <xf numFmtId="169" fontId="42" fillId="0" borderId="0" applyFont="0" applyFill="0" applyBorder="0" applyAlignment="0" applyProtection="0"/>
    <xf numFmtId="249" fontId="7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137" fillId="0" borderId="0" applyFont="0" applyFill="0" applyBorder="0" applyAlignment="0" applyProtection="0"/>
    <xf numFmtId="169" fontId="42" fillId="0" borderId="0" applyFont="0" applyFill="0" applyBorder="0" applyAlignment="0" applyProtection="0"/>
    <xf numFmtId="250" fontId="91" fillId="0" borderId="0" applyFont="0" applyFill="0" applyBorder="0" applyAlignment="0" applyProtection="0"/>
    <xf numFmtId="251" fontId="70" fillId="0" borderId="0" applyProtection="0"/>
    <xf numFmtId="250" fontId="91" fillId="0" borderId="0" applyFont="0" applyFill="0" applyBorder="0" applyAlignment="0" applyProtection="0"/>
    <xf numFmtId="43" fontId="70" fillId="0" borderId="0" applyFont="0" applyFill="0" applyBorder="0" applyAlignment="0" applyProtection="0"/>
    <xf numFmtId="43"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2" fontId="4"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74" fontId="110" fillId="0" borderId="0" applyFont="0" applyFill="0" applyBorder="0" applyAlignment="0" applyProtection="0"/>
    <xf numFmtId="253" fontId="70"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3" fontId="70" fillId="0" borderId="0" applyProtection="0"/>
    <xf numFmtId="169"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253" fontId="70" fillId="0" borderId="0" applyProtection="0"/>
    <xf numFmtId="169" fontId="13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70" fillId="0" borderId="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0" fontId="8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35"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254" fontId="38" fillId="0" borderId="0" applyFont="0" applyFill="0" applyBorder="0" applyAlignment="0" applyProtection="0"/>
    <xf numFmtId="169" fontId="4" fillId="0" borderId="0" applyFont="0" applyFill="0" applyBorder="0" applyAlignment="0" applyProtection="0"/>
    <xf numFmtId="255" fontId="38" fillId="0" borderId="0" applyFont="0" applyFill="0" applyBorder="0" applyAlignment="0" applyProtection="0"/>
    <xf numFmtId="169" fontId="4"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74" fontId="42" fillId="0" borderId="0" applyFont="0" applyFill="0" applyBorder="0" applyAlignment="0" applyProtection="0"/>
    <xf numFmtId="253" fontId="70" fillId="0" borderId="0" applyProtection="0"/>
    <xf numFmtId="253" fontId="70"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3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135"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93" fontId="42" fillId="0" borderId="0" applyFont="0" applyFill="0" applyBorder="0" applyAlignment="0" applyProtection="0"/>
    <xf numFmtId="169" fontId="42" fillId="0" borderId="0" applyFont="0" applyFill="0" applyBorder="0" applyAlignment="0" applyProtection="0"/>
    <xf numFmtId="193" fontId="4" fillId="0" borderId="0" applyFont="0" applyFill="0" applyBorder="0" applyAlignment="0" applyProtection="0"/>
    <xf numFmtId="169" fontId="42" fillId="0" borderId="0" applyFont="0" applyFill="0" applyBorder="0" applyAlignment="0" applyProtection="0"/>
    <xf numFmtId="193" fontId="4" fillId="0" borderId="0" applyFont="0" applyFill="0" applyBorder="0" applyAlignment="0" applyProtection="0"/>
    <xf numFmtId="174" fontId="4" fillId="0" borderId="0" applyFont="0" applyFill="0" applyBorder="0" applyAlignment="0" applyProtection="0"/>
    <xf numFmtId="174" fontId="70" fillId="0" borderId="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69" fontId="4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32" fillId="0" borderId="0" applyFont="0" applyFill="0" applyBorder="0" applyAlignment="0" applyProtection="0"/>
    <xf numFmtId="174" fontId="70" fillId="0" borderId="0" applyFont="0" applyFill="0" applyBorder="0" applyAlignment="0" applyProtection="0"/>
    <xf numFmtId="169" fontId="135" fillId="0" borderId="0" applyFont="0" applyFill="0" applyBorder="0" applyAlignment="0" applyProtection="0"/>
    <xf numFmtId="169" fontId="32" fillId="0" borderId="0" applyFont="0" applyFill="0" applyBorder="0" applyAlignment="0" applyProtection="0"/>
    <xf numFmtId="169" fontId="4" fillId="0" borderId="0" applyFont="0" applyFill="0" applyBorder="0" applyAlignment="0" applyProtection="0"/>
    <xf numFmtId="193" fontId="48"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48" fillId="0" borderId="0" applyFont="0" applyFill="0" applyBorder="0" applyAlignment="0" applyProtection="0"/>
    <xf numFmtId="169" fontId="42" fillId="0" borderId="0" applyFont="0" applyFill="0" applyBorder="0" applyAlignment="0" applyProtection="0"/>
    <xf numFmtId="169" fontId="48" fillId="0" borderId="0" applyFont="0" applyFill="0" applyBorder="0" applyAlignment="0" applyProtection="0"/>
    <xf numFmtId="169" fontId="13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2" fillId="0" borderId="0" applyFont="0" applyFill="0" applyBorder="0" applyAlignment="0" applyProtection="0"/>
    <xf numFmtId="228" fontId="42" fillId="0" borderId="0" applyFont="0" applyFill="0" applyBorder="0" applyAlignment="0" applyProtection="0"/>
    <xf numFmtId="228" fontId="42" fillId="0" borderId="0" applyFont="0" applyFill="0" applyBorder="0" applyAlignment="0" applyProtection="0"/>
    <xf numFmtId="169" fontId="135" fillId="0" borderId="0" applyFont="0" applyFill="0" applyBorder="0" applyAlignment="0" applyProtection="0"/>
    <xf numFmtId="178" fontId="42" fillId="0" borderId="0" applyFont="0" applyFill="0" applyBorder="0" applyAlignment="0" applyProtection="0"/>
    <xf numFmtId="169" fontId="42" fillId="0" borderId="0" applyFont="0" applyFill="0" applyBorder="0" applyAlignment="0" applyProtection="0"/>
    <xf numFmtId="174" fontId="42" fillId="0" borderId="0" applyFont="0" applyFill="0" applyBorder="0" applyAlignment="0" applyProtection="0"/>
    <xf numFmtId="169" fontId="42" fillId="0" borderId="0" applyFont="0" applyFill="0" applyBorder="0" applyAlignment="0" applyProtection="0"/>
    <xf numFmtId="256" fontId="32"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70"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5" fillId="0" borderId="0" applyNumberFormat="0" applyFill="0" applyBorder="0" applyAlignment="0" applyProtection="0"/>
    <xf numFmtId="0" fontId="138" fillId="0" borderId="0">
      <alignment horizontal="center"/>
    </xf>
    <xf numFmtId="0" fontId="139" fillId="0" borderId="0" applyNumberFormat="0" applyAlignment="0">
      <alignment horizontal="left"/>
    </xf>
    <xf numFmtId="192" fontId="140" fillId="0" borderId="0" applyFont="0" applyFill="0" applyBorder="0" applyAlignment="0" applyProtection="0"/>
    <xf numFmtId="257" fontId="141" fillId="0" borderId="0" applyFill="0" applyBorder="0" applyProtection="0"/>
    <xf numFmtId="258" fontId="133" fillId="0" borderId="0" applyFont="0" applyFill="0" applyBorder="0" applyAlignment="0" applyProtection="0"/>
    <xf numFmtId="259" fontId="32" fillId="0" borderId="0" applyFill="0" applyBorder="0" applyProtection="0"/>
    <xf numFmtId="259" fontId="32" fillId="0" borderId="11" applyFill="0" applyProtection="0"/>
    <xf numFmtId="259" fontId="32" fillId="0" borderId="21" applyFill="0" applyProtection="0"/>
    <xf numFmtId="260" fontId="120" fillId="0" borderId="0" applyFont="0" applyFill="0" applyBorder="0" applyAlignment="0" applyProtection="0"/>
    <xf numFmtId="261" fontId="142" fillId="0" borderId="0" applyFont="0" applyFill="0" applyBorder="0" applyAlignment="0" applyProtection="0"/>
    <xf numFmtId="262"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4" fontId="142" fillId="0" borderId="0" applyFont="0" applyFill="0" applyBorder="0" applyAlignment="0" applyProtection="0"/>
    <xf numFmtId="220" fontId="125"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65" fontId="134" fillId="0" borderId="0" applyFont="0" applyFill="0" applyBorder="0" applyAlignment="0" applyProtection="0"/>
    <xf numFmtId="266" fontId="70"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70"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70" fillId="0" borderId="0" applyFont="0" applyFill="0" applyBorder="0" applyAlignment="0" applyProtection="0"/>
    <xf numFmtId="273" fontId="134" fillId="0" borderId="0" applyFont="0" applyFill="0" applyBorder="0" applyAlignment="0" applyProtection="0"/>
    <xf numFmtId="168" fontId="42"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7" fontId="70" fillId="0" borderId="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applyProtection="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0" fontId="143" fillId="24" borderId="22" applyNumberFormat="0" applyAlignment="0" applyProtection="0"/>
    <xf numFmtId="178" fontId="94" fillId="0" borderId="0" applyFont="0" applyFill="0" applyBorder="0" applyAlignment="0" applyProtection="0"/>
    <xf numFmtId="1" fontId="144" fillId="0" borderId="7" applyBorder="0"/>
    <xf numFmtId="279" fontId="48" fillId="0" borderId="23"/>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0"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6" fillId="0" borderId="0" applyFill="0" applyBorder="0" applyAlignment="0"/>
    <xf numFmtId="14" fontId="85" fillId="0" borderId="0" applyFill="0" applyBorder="0" applyAlignment="0"/>
    <xf numFmtId="0" fontId="91" fillId="0" borderId="0" applyProtection="0"/>
    <xf numFmtId="3" fontId="145" fillId="0" borderId="8">
      <alignment horizontal="left" vertical="top" wrapText="1"/>
    </xf>
    <xf numFmtId="169" fontId="135" fillId="0" borderId="0" applyFont="0" applyFill="0" applyBorder="0" applyAlignment="0" applyProtection="0"/>
    <xf numFmtId="280" fontId="32" fillId="0" borderId="0" applyFill="0" applyBorder="0" applyProtection="0"/>
    <xf numFmtId="280" fontId="32" fillId="0" borderId="11" applyFill="0" applyProtection="0"/>
    <xf numFmtId="280" fontId="32" fillId="0" borderId="21" applyFill="0" applyProtection="0"/>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0" fontId="4" fillId="0" borderId="0" applyFont="0" applyFill="0" applyBorder="0" applyAlignment="0" applyProtection="0"/>
    <xf numFmtId="0" fontId="4" fillId="0" borderId="0" applyFont="0" applyFill="0" applyBorder="0" applyAlignment="0" applyProtection="0"/>
    <xf numFmtId="282" fontId="48" fillId="0" borderId="0"/>
    <xf numFmtId="283" fontId="72" fillId="0" borderId="2"/>
    <xf numFmtId="283" fontId="72" fillId="0" borderId="2"/>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applyProtection="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84" fontId="72" fillId="0" borderId="0"/>
    <xf numFmtId="173" fontId="146" fillId="0" borderId="0" applyFont="0" applyFill="0" applyBorder="0" applyAlignment="0" applyProtection="0"/>
    <xf numFmtId="174" fontId="146" fillId="0" borderId="0" applyFont="0" applyFill="0" applyBorder="0" applyAlignment="0" applyProtection="0"/>
    <xf numFmtId="173" fontId="146" fillId="0" borderId="0" applyFont="0" applyFill="0" applyBorder="0" applyAlignment="0" applyProtection="0"/>
    <xf numFmtId="167"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167" fontId="147" fillId="0" borderId="0" applyFont="0" applyFill="0" applyBorder="0" applyAlignment="0" applyProtection="0"/>
    <xf numFmtId="167" fontId="147"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287" fontId="48" fillId="0" borderId="0" applyFont="0" applyFill="0" applyBorder="0" applyAlignment="0" applyProtection="0"/>
    <xf numFmtId="287" fontId="48"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7" fillId="0" borderId="0" applyFont="0" applyFill="0" applyBorder="0" applyAlignment="0" applyProtection="0"/>
    <xf numFmtId="167" fontId="147" fillId="0" borderId="0" applyFont="0" applyFill="0" applyBorder="0" applyAlignment="0" applyProtection="0"/>
    <xf numFmtId="41" fontId="146" fillId="0" borderId="0" applyFont="0" applyFill="0" applyBorder="0" applyAlignment="0" applyProtection="0"/>
    <xf numFmtId="167"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67" fontId="146"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67" fontId="146" fillId="0" borderId="0" applyFont="0" applyFill="0" applyBorder="0" applyAlignment="0" applyProtection="0"/>
    <xf numFmtId="174" fontId="146" fillId="0" borderId="0" applyFont="0" applyFill="0" applyBorder="0" applyAlignment="0" applyProtection="0"/>
    <xf numFmtId="169"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288" fontId="105" fillId="0" borderId="0" applyFont="0" applyFill="0" applyBorder="0" applyAlignment="0" applyProtection="0"/>
    <xf numFmtId="288" fontId="105" fillId="0" borderId="0" applyFont="0" applyFill="0" applyBorder="0" applyAlignment="0" applyProtection="0"/>
    <xf numFmtId="169" fontId="147" fillId="0" borderId="0" applyFont="0" applyFill="0" applyBorder="0" applyAlignment="0" applyProtection="0"/>
    <xf numFmtId="169" fontId="147" fillId="0" borderId="0" applyFont="0" applyFill="0" applyBorder="0" applyAlignment="0" applyProtection="0"/>
    <xf numFmtId="288" fontId="105" fillId="0" borderId="0" applyFont="0" applyFill="0" applyBorder="0" applyAlignment="0" applyProtection="0"/>
    <xf numFmtId="288" fontId="105" fillId="0" borderId="0" applyFont="0" applyFill="0" applyBorder="0" applyAlignment="0" applyProtection="0"/>
    <xf numFmtId="174" fontId="146" fillId="0" borderId="0" applyFont="0" applyFill="0" applyBorder="0" applyAlignment="0" applyProtection="0"/>
    <xf numFmtId="174" fontId="146" fillId="0" borderId="0" applyFont="0" applyFill="0" applyBorder="0" applyAlignment="0" applyProtection="0"/>
    <xf numFmtId="288" fontId="105" fillId="0" borderId="0" applyFont="0" applyFill="0" applyBorder="0" applyAlignment="0" applyProtection="0"/>
    <xf numFmtId="288" fontId="105" fillId="0" borderId="0" applyFont="0" applyFill="0" applyBorder="0" applyAlignment="0" applyProtection="0"/>
    <xf numFmtId="251" fontId="48" fillId="0" borderId="0" applyFont="0" applyFill="0" applyBorder="0" applyAlignment="0" applyProtection="0"/>
    <xf numFmtId="251" fontId="48"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7" fillId="0" borderId="0" applyFont="0" applyFill="0" applyBorder="0" applyAlignment="0" applyProtection="0"/>
    <xf numFmtId="169" fontId="147"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174" fontId="146" fillId="0" borderId="0" applyFont="0" applyFill="0" applyBorder="0" applyAlignment="0" applyProtection="0"/>
    <xf numFmtId="174"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3" fontId="48" fillId="0" borderId="0" applyFont="0" applyBorder="0" applyAlignment="0"/>
    <xf numFmtId="0" fontId="10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12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125"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48" fillId="0" borderId="0" applyNumberFormat="0" applyAlignment="0">
      <alignment horizontal="left"/>
    </xf>
    <xf numFmtId="0" fontId="149" fillId="0" borderId="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0" fontId="150" fillId="0" borderId="0"/>
    <xf numFmtId="0" fontId="151" fillId="0" borderId="0" applyNumberFormat="0" applyFill="0" applyBorder="0" applyAlignment="0" applyProtection="0"/>
    <xf numFmtId="3" fontId="48"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70"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Alignment="0" applyProtection="0"/>
    <xf numFmtId="291" fontId="158" fillId="0" borderId="25" applyNumberFormat="0" applyFill="0" applyBorder="0" applyAlignment="0" applyProtection="0"/>
    <xf numFmtId="0" fontId="159" fillId="0" borderId="0" applyNumberFormat="0" applyFill="0" applyBorder="0" applyAlignment="0" applyProtection="0"/>
    <xf numFmtId="0" fontId="160" fillId="7"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292" fontId="162" fillId="3" borderId="0" applyBorder="0" applyProtection="0"/>
    <xf numFmtId="0" fontId="163" fillId="0" borderId="0">
      <alignment vertical="top" wrapText="1"/>
    </xf>
    <xf numFmtId="0" fontId="164" fillId="0" borderId="16" applyNumberFormat="0" applyFill="0" applyBorder="0" applyAlignment="0" applyProtection="0">
      <alignment horizontal="center" vertical="center"/>
    </xf>
    <xf numFmtId="0" fontId="165" fillId="0" borderId="0" applyNumberFormat="0" applyFont="0" applyBorder="0" applyAlignment="0">
      <alignment horizontal="left" vertical="center"/>
    </xf>
    <xf numFmtId="293" fontId="120" fillId="0" borderId="0" applyFont="0" applyFill="0" applyBorder="0" applyAlignment="0" applyProtection="0"/>
    <xf numFmtId="0" fontId="166" fillId="25" borderId="0"/>
    <xf numFmtId="0" fontId="167" fillId="0" borderId="0">
      <alignment horizontal="left"/>
    </xf>
    <xf numFmtId="0" fontId="168" fillId="0" borderId="0">
      <alignment horizontal="left"/>
    </xf>
    <xf numFmtId="0" fontId="83" fillId="0" borderId="26" applyNumberFormat="0" applyAlignment="0" applyProtection="0">
      <alignment horizontal="left" vertical="center"/>
    </xf>
    <xf numFmtId="0" fontId="83" fillId="0" borderId="26" applyNumberFormat="0" applyAlignment="0" applyProtection="0">
      <alignment horizontal="left" vertical="center"/>
    </xf>
    <xf numFmtId="0" fontId="83" fillId="0" borderId="4">
      <alignment horizontal="left" vertical="center"/>
    </xf>
    <xf numFmtId="0" fontId="83" fillId="0" borderId="4">
      <alignment horizontal="left" vertical="center"/>
    </xf>
    <xf numFmtId="14" fontId="169" fillId="26" borderId="27">
      <alignment horizontal="center" vertical="center" wrapText="1"/>
    </xf>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29" fillId="0" borderId="0" applyFill="0" applyAlignment="0" applyProtection="0">
      <protection locked="0"/>
    </xf>
    <xf numFmtId="0" fontId="129" fillId="0" borderId="1" applyFill="0" applyAlignment="0" applyProtection="0">
      <protection locked="0"/>
    </xf>
    <xf numFmtId="0" fontId="173" fillId="0" borderId="0" applyProtection="0"/>
    <xf numFmtId="0" fontId="83" fillId="0" borderId="0" applyProtection="0"/>
    <xf numFmtId="0" fontId="174" fillId="0" borderId="27">
      <alignment horizontal="center"/>
    </xf>
    <xf numFmtId="0" fontId="174" fillId="0" borderId="0">
      <alignment horizontal="center"/>
    </xf>
    <xf numFmtId="164" fontId="175" fillId="27" borderId="2" applyNumberFormat="0" applyAlignment="0">
      <alignment horizontal="left" vertical="top"/>
    </xf>
    <xf numFmtId="164" fontId="175" fillId="27" borderId="2" applyNumberFormat="0" applyAlignment="0">
      <alignment horizontal="left" vertical="top"/>
    </xf>
    <xf numFmtId="294" fontId="175" fillId="27" borderId="2" applyNumberFormat="0" applyAlignment="0">
      <alignment horizontal="left" vertical="top"/>
    </xf>
    <xf numFmtId="49" fontId="176" fillId="0" borderId="2">
      <alignment vertical="center"/>
    </xf>
    <xf numFmtId="49" fontId="176" fillId="0" borderId="2">
      <alignment vertical="center"/>
    </xf>
    <xf numFmtId="0" fontId="32" fillId="0" borderId="0"/>
    <xf numFmtId="173" fontId="48" fillId="0" borderId="0" applyFont="0" applyFill="0" applyBorder="0" applyAlignment="0" applyProtection="0"/>
    <xf numFmtId="38" fontId="87"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95" fontId="177" fillId="0" borderId="0" applyFont="0" applyFill="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8" borderId="2" applyNumberFormat="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73" fontId="48" fillId="0" borderId="0" applyFont="0" applyFill="0" applyBorder="0" applyAlignment="0" applyProtection="0"/>
    <xf numFmtId="0" fontId="48" fillId="0" borderId="0"/>
    <xf numFmtId="0" fontId="114" fillId="0" borderId="31">
      <alignment horizontal="centerContinuous"/>
    </xf>
    <xf numFmtId="0" fontId="87" fillId="0" borderId="0"/>
    <xf numFmtId="0" fontId="32" fillId="0" borderId="0" applyNumberFormat="0" applyFont="0" applyFill="0" applyBorder="0" applyProtection="0">
      <alignment horizontal="left" vertical="center"/>
    </xf>
    <xf numFmtId="0" fontId="87" fillId="0" borderId="0"/>
    <xf numFmtId="0" fontId="10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12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125"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82" fillId="0" borderId="32" applyNumberFormat="0" applyFill="0" applyAlignment="0" applyProtection="0"/>
    <xf numFmtId="3" fontId="183" fillId="0" borderId="8" applyNumberFormat="0" applyAlignment="0">
      <alignment horizontal="center" vertical="center"/>
    </xf>
    <xf numFmtId="3" fontId="99" fillId="0" borderId="8" applyNumberFormat="0" applyAlignment="0">
      <alignment horizontal="center" vertical="center"/>
    </xf>
    <xf numFmtId="3" fontId="175" fillId="0" borderId="8" applyNumberFormat="0" applyAlignment="0">
      <alignment horizontal="center" vertical="center"/>
    </xf>
    <xf numFmtId="279" fontId="184" fillId="0" borderId="33" applyNumberFormat="0" applyFont="0" applyFill="0" applyBorder="0">
      <alignment horizontal="center"/>
    </xf>
    <xf numFmtId="279" fontId="184" fillId="0" borderId="33" applyNumberFormat="0" applyFont="0" applyFill="0" applyBorder="0">
      <alignment horizontal="center"/>
    </xf>
    <xf numFmtId="38" fontId="87" fillId="0" borderId="0" applyFont="0" applyFill="0" applyBorder="0" applyAlignment="0" applyProtection="0"/>
    <xf numFmtId="40" fontId="87" fillId="0" borderId="0" applyFont="0" applyFill="0" applyBorder="0" applyAlignment="0" applyProtection="0"/>
    <xf numFmtId="173" fontId="105" fillId="0" borderId="0" applyFont="0" applyFill="0" applyBorder="0" applyAlignment="0" applyProtection="0"/>
    <xf numFmtId="174" fontId="105" fillId="0" borderId="0" applyFont="0" applyFill="0" applyBorder="0" applyAlignment="0" applyProtection="0"/>
    <xf numFmtId="0" fontId="185" fillId="0" borderId="27"/>
    <xf numFmtId="0" fontId="186" fillId="0" borderId="27"/>
    <xf numFmtId="172" fontId="105" fillId="0" borderId="33"/>
    <xf numFmtId="172" fontId="105" fillId="0" borderId="33"/>
    <xf numFmtId="296" fontId="187" fillId="0" borderId="33"/>
    <xf numFmtId="297" fontId="110" fillId="0" borderId="0" applyFont="0" applyFill="0" applyBorder="0" applyAlignment="0" applyProtection="0"/>
    <xf numFmtId="298" fontId="110" fillId="0" borderId="0" applyFont="0" applyFill="0" applyBorder="0" applyAlignment="0" applyProtection="0"/>
    <xf numFmtId="299" fontId="105" fillId="0" borderId="0" applyFont="0" applyFill="0" applyBorder="0" applyAlignment="0" applyProtection="0"/>
    <xf numFmtId="300" fontId="105" fillId="0" borderId="0" applyFont="0" applyFill="0" applyBorder="0" applyAlignment="0" applyProtection="0"/>
    <xf numFmtId="0" fontId="91" fillId="0" borderId="0" applyNumberFormat="0" applyFont="0" applyFill="0" applyAlignment="0"/>
    <xf numFmtId="0" fontId="188" fillId="29" borderId="0" applyNumberFormat="0" applyBorder="0" applyAlignment="0" applyProtection="0"/>
    <xf numFmtId="0" fontId="120" fillId="0" borderId="2"/>
    <xf numFmtId="0" fontId="32" fillId="0" borderId="0"/>
    <xf numFmtId="37" fontId="189" fillId="0" borderId="0"/>
    <xf numFmtId="37" fontId="189" fillId="0" borderId="0"/>
    <xf numFmtId="37" fontId="189" fillId="0" borderId="0"/>
    <xf numFmtId="0" fontId="190" fillId="0" borderId="2" applyNumberFormat="0" applyFont="0" applyFill="0" applyBorder="0" applyAlignment="0">
      <alignment horizontal="center"/>
    </xf>
    <xf numFmtId="0" fontId="190" fillId="0" borderId="2" applyNumberFormat="0" applyFont="0" applyFill="0" applyBorder="0" applyAlignment="0">
      <alignment horizontal="center"/>
    </xf>
    <xf numFmtId="301" fontId="191" fillId="0" borderId="0"/>
    <xf numFmtId="0" fontId="192" fillId="0" borderId="0"/>
    <xf numFmtId="0" fontId="4" fillId="0" borderId="0"/>
    <xf numFmtId="0" fontId="193" fillId="0" borderId="0"/>
    <xf numFmtId="0" fontId="194" fillId="0" borderId="0"/>
    <xf numFmtId="0" fontId="42" fillId="0" borderId="0"/>
    <xf numFmtId="0" fontId="195" fillId="0" borderId="0"/>
    <xf numFmtId="0" fontId="4" fillId="0" borderId="0"/>
    <xf numFmtId="0" fontId="196" fillId="0" borderId="0"/>
    <xf numFmtId="0" fontId="4" fillId="0" borderId="0"/>
    <xf numFmtId="0" fontId="105" fillId="0" borderId="0"/>
    <xf numFmtId="0" fontId="4" fillId="0" borderId="0"/>
    <xf numFmtId="0" fontId="4" fillId="0" borderId="0"/>
    <xf numFmtId="0" fontId="38" fillId="0" borderId="0"/>
    <xf numFmtId="0" fontId="6" fillId="0" borderId="0"/>
    <xf numFmtId="0" fontId="6" fillId="0" borderId="0"/>
    <xf numFmtId="0" fontId="6" fillId="0" borderId="0"/>
    <xf numFmtId="0" fontId="94" fillId="0" borderId="0"/>
    <xf numFmtId="0" fontId="42" fillId="0" borderId="0"/>
    <xf numFmtId="0" fontId="195" fillId="0" borderId="0"/>
    <xf numFmtId="0" fontId="4" fillId="0" borderId="0"/>
    <xf numFmtId="0" fontId="42" fillId="0" borderId="0"/>
    <xf numFmtId="0" fontId="197" fillId="0" borderId="0"/>
    <xf numFmtId="0" fontId="105" fillId="0" borderId="0"/>
    <xf numFmtId="0" fontId="42" fillId="0" borderId="0"/>
    <xf numFmtId="0" fontId="4" fillId="0" borderId="0"/>
    <xf numFmtId="0" fontId="38" fillId="0" borderId="0"/>
    <xf numFmtId="0" fontId="91" fillId="0" borderId="0"/>
    <xf numFmtId="0" fontId="70" fillId="0" borderId="0"/>
    <xf numFmtId="0" fontId="4" fillId="0" borderId="0"/>
    <xf numFmtId="0" fontId="6" fillId="0" borderId="0"/>
    <xf numFmtId="0" fontId="6" fillId="0" borderId="0"/>
    <xf numFmtId="0" fontId="6" fillId="0" borderId="0"/>
    <xf numFmtId="0" fontId="6" fillId="0" borderId="0"/>
    <xf numFmtId="0" fontId="70" fillId="0" borderId="0" applyProtection="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70" fillId="0" borderId="0"/>
    <xf numFmtId="0" fontId="4" fillId="0" borderId="0"/>
    <xf numFmtId="0" fontId="4" fillId="0" borderId="0"/>
    <xf numFmtId="0" fontId="42" fillId="0" borderId="0"/>
    <xf numFmtId="0" fontId="198" fillId="0" borderId="0"/>
    <xf numFmtId="0" fontId="4" fillId="0" borderId="0"/>
    <xf numFmtId="0" fontId="4" fillId="0" borderId="0"/>
    <xf numFmtId="0" fontId="38" fillId="0" borderId="0"/>
    <xf numFmtId="0" fontId="42" fillId="0" borderId="0"/>
    <xf numFmtId="0" fontId="38" fillId="0" borderId="0"/>
    <xf numFmtId="0" fontId="42" fillId="0" borderId="0"/>
    <xf numFmtId="0" fontId="38" fillId="0" borderId="0"/>
    <xf numFmtId="0" fontId="72" fillId="0" borderId="0"/>
    <xf numFmtId="0" fontId="38" fillId="0" borderId="0"/>
    <xf numFmtId="0" fontId="42" fillId="0" borderId="0"/>
    <xf numFmtId="0" fontId="42" fillId="0" borderId="0"/>
    <xf numFmtId="0" fontId="42" fillId="0" borderId="0"/>
    <xf numFmtId="0" fontId="42"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38" fillId="0" borderId="0"/>
    <xf numFmtId="0" fontId="38" fillId="0" borderId="0"/>
    <xf numFmtId="0" fontId="42" fillId="0" borderId="0"/>
    <xf numFmtId="0" fontId="198" fillId="0" borderId="0"/>
    <xf numFmtId="0" fontId="198" fillId="0" borderId="0"/>
    <xf numFmtId="0" fontId="198" fillId="0" borderId="0"/>
    <xf numFmtId="0" fontId="196" fillId="0" borderId="0"/>
    <xf numFmtId="0" fontId="70" fillId="0" borderId="0" applyProtection="0"/>
    <xf numFmtId="0" fontId="6" fillId="0" borderId="0"/>
    <xf numFmtId="0" fontId="32" fillId="0" borderId="0"/>
    <xf numFmtId="0" fontId="42" fillId="0" borderId="0"/>
    <xf numFmtId="0" fontId="42" fillId="0" borderId="0"/>
    <xf numFmtId="0" fontId="199" fillId="0" borderId="0"/>
    <xf numFmtId="0" fontId="42" fillId="0" borderId="0"/>
    <xf numFmtId="0" fontId="42" fillId="0" borderId="0"/>
    <xf numFmtId="0" fontId="48" fillId="0" borderId="0"/>
    <xf numFmtId="0" fontId="38" fillId="0" borderId="0"/>
    <xf numFmtId="0" fontId="42" fillId="0" borderId="0"/>
    <xf numFmtId="0" fontId="38" fillId="0" borderId="0"/>
    <xf numFmtId="0" fontId="137" fillId="0" borderId="0"/>
    <xf numFmtId="0" fontId="38" fillId="0" borderId="0"/>
    <xf numFmtId="0" fontId="137" fillId="0" borderId="0"/>
    <xf numFmtId="0" fontId="38" fillId="0" borderId="0"/>
    <xf numFmtId="0" fontId="137" fillId="0" borderId="0"/>
    <xf numFmtId="0" fontId="38" fillId="0" borderId="0"/>
    <xf numFmtId="0" fontId="137" fillId="0" borderId="0"/>
    <xf numFmtId="0" fontId="38" fillId="0" borderId="0"/>
    <xf numFmtId="0" fontId="72" fillId="0" borderId="0"/>
    <xf numFmtId="0" fontId="42" fillId="0" borderId="0"/>
    <xf numFmtId="0" fontId="198" fillId="0" borderId="0"/>
    <xf numFmtId="0" fontId="4" fillId="0" borderId="0"/>
    <xf numFmtId="0" fontId="198" fillId="0" borderId="0"/>
    <xf numFmtId="0" fontId="4" fillId="0" borderId="0"/>
    <xf numFmtId="0" fontId="70" fillId="0" borderId="0"/>
    <xf numFmtId="0" fontId="70" fillId="0" borderId="0" applyProtection="0"/>
    <xf numFmtId="0" fontId="70" fillId="0" borderId="0"/>
    <xf numFmtId="0" fontId="70" fillId="0" borderId="0" applyProtection="0"/>
    <xf numFmtId="0" fontId="4" fillId="0" borderId="0"/>
    <xf numFmtId="0" fontId="70" fillId="0" borderId="0" applyProtection="0"/>
    <xf numFmtId="0" fontId="91" fillId="0" borderId="0"/>
    <xf numFmtId="0" fontId="4" fillId="0" borderId="0"/>
    <xf numFmtId="0" fontId="70" fillId="0" borderId="0" applyProtection="0"/>
    <xf numFmtId="0" fontId="70" fillId="0" borderId="0"/>
    <xf numFmtId="0" fontId="91" fillId="0" borderId="0"/>
    <xf numFmtId="0" fontId="70" fillId="0" borderId="0" applyProtection="0"/>
    <xf numFmtId="0" fontId="91" fillId="0" borderId="0"/>
    <xf numFmtId="0" fontId="70" fillId="0" borderId="0" applyProtection="0"/>
    <xf numFmtId="0" fontId="42" fillId="0" borderId="0"/>
    <xf numFmtId="0" fontId="70" fillId="0" borderId="0" applyProtection="0"/>
    <xf numFmtId="0" fontId="4" fillId="0" borderId="0"/>
    <xf numFmtId="0" fontId="200" fillId="0" borderId="0"/>
    <xf numFmtId="0" fontId="42" fillId="0" borderId="0"/>
    <xf numFmtId="0" fontId="4" fillId="0" borderId="0"/>
    <xf numFmtId="0" fontId="195"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6" fillId="0" borderId="0"/>
    <xf numFmtId="0" fontId="198" fillId="0" borderId="0"/>
    <xf numFmtId="0" fontId="4" fillId="0" borderId="0"/>
    <xf numFmtId="0" fontId="110" fillId="0" borderId="0"/>
    <xf numFmtId="0" fontId="110" fillId="0" borderId="0" applyProtection="0"/>
    <xf numFmtId="0" fontId="42" fillId="0" borderId="0" applyProtection="0"/>
    <xf numFmtId="0" fontId="6" fillId="0" borderId="0"/>
    <xf numFmtId="0" fontId="6" fillId="0" borderId="0"/>
    <xf numFmtId="0" fontId="6" fillId="0" borderId="0"/>
    <xf numFmtId="0" fontId="6" fillId="0" borderId="0"/>
    <xf numFmtId="0" fontId="6" fillId="0" borderId="0"/>
    <xf numFmtId="0" fontId="105" fillId="0" borderId="0"/>
    <xf numFmtId="0" fontId="4" fillId="0" borderId="0"/>
    <xf numFmtId="0" fontId="110"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6" fillId="0" borderId="0"/>
    <xf numFmtId="0" fontId="6" fillId="0" borderId="0"/>
    <xf numFmtId="0" fontId="70" fillId="0" borderId="0"/>
    <xf numFmtId="0" fontId="201" fillId="0" borderId="0"/>
    <xf numFmtId="0" fontId="70" fillId="0" borderId="0"/>
    <xf numFmtId="0" fontId="70" fillId="0" borderId="0"/>
    <xf numFmtId="0" fontId="70" fillId="0" borderId="0"/>
    <xf numFmtId="0" fontId="3" fillId="0" borderId="0"/>
    <xf numFmtId="0" fontId="3" fillId="0" borderId="0"/>
    <xf numFmtId="0" fontId="42" fillId="0" borderId="0" applyProtection="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70" fillId="0" borderId="0"/>
    <xf numFmtId="0" fontId="6" fillId="0" borderId="0"/>
    <xf numFmtId="0" fontId="6" fillId="0" borderId="0"/>
    <xf numFmtId="0" fontId="6" fillId="0" borderId="0"/>
    <xf numFmtId="0" fontId="6" fillId="0" borderId="0"/>
    <xf numFmtId="0" fontId="38" fillId="0" borderId="0"/>
    <xf numFmtId="0" fontId="76" fillId="0" borderId="0"/>
    <xf numFmtId="0" fontId="38" fillId="0" borderId="0"/>
    <xf numFmtId="0" fontId="38" fillId="0" borderId="0"/>
    <xf numFmtId="0" fontId="38" fillId="0" borderId="0"/>
    <xf numFmtId="0" fontId="38" fillId="0" borderId="0"/>
    <xf numFmtId="0" fontId="38" fillId="0" borderId="0"/>
    <xf numFmtId="0" fontId="4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132" fillId="0" borderId="0"/>
    <xf numFmtId="0" fontId="4" fillId="0" borderId="0"/>
    <xf numFmtId="0" fontId="70" fillId="0" borderId="0"/>
    <xf numFmtId="0" fontId="4" fillId="0" borderId="0"/>
    <xf numFmtId="0" fontId="4" fillId="0" borderId="0" applyProtection="0"/>
    <xf numFmtId="0" fontId="70" fillId="0" borderId="0"/>
    <xf numFmtId="0" fontId="70" fillId="0" borderId="0"/>
    <xf numFmtId="0" fontId="6" fillId="0" borderId="0"/>
    <xf numFmtId="0" fontId="6"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9" fillId="0" borderId="0"/>
    <xf numFmtId="0" fontId="48" fillId="0" borderId="0"/>
    <xf numFmtId="0" fontId="42" fillId="0" borderId="0"/>
    <xf numFmtId="0" fontId="32" fillId="0" borderId="0"/>
    <xf numFmtId="0" fontId="32" fillId="0" borderId="0"/>
    <xf numFmtId="0" fontId="48" fillId="0" borderId="0"/>
    <xf numFmtId="0" fontId="42" fillId="0" borderId="0"/>
    <xf numFmtId="0" fontId="42" fillId="0" borderId="0"/>
    <xf numFmtId="0" fontId="4" fillId="0" borderId="0"/>
    <xf numFmtId="0" fontId="4" fillId="0" borderId="0"/>
    <xf numFmtId="0" fontId="42" fillId="0" borderId="0"/>
    <xf numFmtId="0" fontId="42"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8" fillId="0" borderId="0"/>
    <xf numFmtId="0" fontId="93" fillId="0" borderId="0" applyFont="0"/>
    <xf numFmtId="0" fontId="146" fillId="0" borderId="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105" fillId="30" borderId="34" applyNumberFormat="0" applyFont="0" applyAlignment="0" applyProtection="0"/>
    <xf numFmtId="302" fontId="202" fillId="0" borderId="0" applyFont="0" applyFill="0" applyBorder="0" applyProtection="0">
      <alignment vertical="top" wrapText="1"/>
    </xf>
    <xf numFmtId="0" fontId="72" fillId="0" borderId="15" applyNumberFormat="0" applyAlignment="0">
      <alignment horizontal="center"/>
    </xf>
    <xf numFmtId="0" fontId="72" fillId="0" borderId="0"/>
    <xf numFmtId="0" fontId="72" fillId="0" borderId="0"/>
    <xf numFmtId="0" fontId="72" fillId="0" borderId="0" applyProtection="0"/>
    <xf numFmtId="0" fontId="72" fillId="0" borderId="0" applyProtection="0"/>
    <xf numFmtId="3" fontId="203" fillId="0" borderId="0" applyFont="0" applyFill="0" applyBorder="0" applyAlignment="0" applyProtection="0"/>
    <xf numFmtId="173" fontId="92"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0" fillId="0" borderId="0" applyNumberFormat="0" applyFill="0" applyBorder="0" applyAlignment="0" applyProtection="0"/>
    <xf numFmtId="0" fontId="48"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20" fillId="0" borderId="0" applyNumberFormat="0" applyFill="0" applyBorder="0" applyAlignment="0" applyProtection="0"/>
    <xf numFmtId="0" fontId="48" fillId="0" borderId="0" applyNumberFormat="0" applyFill="0" applyBorder="0" applyAlignment="0" applyProtection="0"/>
    <xf numFmtId="0" fontId="129" fillId="0" borderId="0" applyProtection="0"/>
    <xf numFmtId="0" fontId="4" fillId="0" borderId="0" applyFont="0" applyFill="0" applyBorder="0" applyAlignment="0" applyProtection="0"/>
    <xf numFmtId="0" fontId="32" fillId="0" borderId="0"/>
    <xf numFmtId="0" fontId="205" fillId="23" borderId="35" applyNumberFormat="0" applyAlignment="0" applyProtection="0"/>
    <xf numFmtId="178" fontId="206" fillId="0" borderId="15" applyFont="0" applyBorder="0" applyAlignment="0"/>
    <xf numFmtId="0" fontId="207" fillId="2" borderId="0"/>
    <xf numFmtId="0" fontId="137" fillId="2" borderId="0"/>
    <xf numFmtId="0" fontId="137" fillId="2" borderId="0"/>
    <xf numFmtId="167" fontId="105"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4" fontId="114" fillId="0" borderId="0">
      <alignment horizontal="center" wrapText="1"/>
      <protection locked="0"/>
    </xf>
    <xf numFmtId="14" fontId="40" fillId="0" borderId="0">
      <alignment horizontal="center" wrapText="1"/>
      <protection locked="0"/>
    </xf>
    <xf numFmtId="303" fontId="129" fillId="0" borderId="0" applyFont="0" applyFill="0" applyBorder="0" applyAlignment="0" applyProtection="0"/>
    <xf numFmtId="304" fontId="133" fillId="0" borderId="0" applyFont="0" applyFill="0" applyBorder="0" applyAlignment="0" applyProtection="0"/>
    <xf numFmtId="305" fontId="13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226" fontId="105"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307" fontId="105"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70"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9" fontId="134" fillId="0" borderId="0" applyFont="0" applyFill="0" applyBorder="0" applyAlignment="0" applyProtection="0"/>
    <xf numFmtId="310" fontId="133" fillId="0" borderId="0" applyFont="0" applyFill="0" applyBorder="0" applyAlignment="0" applyProtection="0"/>
    <xf numFmtId="311" fontId="134" fillId="0" borderId="0" applyFont="0" applyFill="0" applyBorder="0" applyAlignment="0" applyProtection="0"/>
    <xf numFmtId="312" fontId="133" fillId="0" borderId="0" applyFont="0" applyFill="0" applyBorder="0" applyAlignment="0" applyProtection="0"/>
    <xf numFmtId="313" fontId="134" fillId="0" borderId="0" applyFont="0" applyFill="0" applyBorder="0" applyAlignment="0" applyProtection="0"/>
    <xf numFmtId="314" fontId="1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7" fillId="0" borderId="36" applyNumberFormat="0" applyBorder="0"/>
    <xf numFmtId="9" fontId="87" fillId="0" borderId="36" applyNumberFormat="0" applyBorder="0"/>
    <xf numFmtId="0" fontId="10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12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125"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208" fillId="0" borderId="0"/>
    <xf numFmtId="0" fontId="209" fillId="0" borderId="0"/>
    <xf numFmtId="0" fontId="87" fillId="0" borderId="0" applyNumberFormat="0" applyFont="0" applyFill="0" applyBorder="0" applyAlignment="0" applyProtection="0">
      <alignment horizontal="left"/>
    </xf>
    <xf numFmtId="0" fontId="210" fillId="0" borderId="27">
      <alignment horizontal="center"/>
    </xf>
    <xf numFmtId="1" fontId="105" fillId="0" borderId="8" applyNumberFormat="0" applyFill="0" applyAlignment="0" applyProtection="0">
      <alignment horizontal="center" vertical="center"/>
    </xf>
    <xf numFmtId="0" fontId="211" fillId="31" borderId="0" applyNumberFormat="0" applyFont="0" applyBorder="0" applyAlignment="0">
      <alignment horizontal="center"/>
    </xf>
    <xf numFmtId="0" fontId="211" fillId="31" borderId="0" applyNumberFormat="0" applyFont="0" applyBorder="0" applyAlignment="0">
      <alignment horizontal="center"/>
    </xf>
    <xf numFmtId="14" fontId="212" fillId="0" borderId="0" applyNumberFormat="0" applyFill="0" applyBorder="0" applyAlignment="0" applyProtection="0">
      <alignment horizontal="left"/>
    </xf>
    <xf numFmtId="0" fontId="180" fillId="0" borderId="0"/>
    <xf numFmtId="0" fontId="72" fillId="0" borderId="0"/>
    <xf numFmtId="167" fontId="73" fillId="0" borderId="0" applyFont="0" applyFill="0" applyBorder="0" applyAlignment="0" applyProtection="0"/>
    <xf numFmtId="209" fontId="7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206" fontId="73" fillId="0" borderId="0" applyFont="0" applyFill="0" applyBorder="0" applyAlignment="0" applyProtection="0"/>
    <xf numFmtId="167" fontId="70" fillId="0" borderId="0" applyProtection="0"/>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vertical="center"/>
    </xf>
    <xf numFmtId="4" fontId="217" fillId="32" borderId="37" applyNumberFormat="0" applyProtection="0">
      <alignment horizontal="left" vertical="center" indent="1"/>
    </xf>
    <xf numFmtId="4" fontId="218" fillId="32" borderId="37" applyNumberFormat="0" applyProtection="0">
      <alignment horizontal="left" vertical="center" indent="1"/>
    </xf>
    <xf numFmtId="4" fontId="217" fillId="33" borderId="0" applyNumberFormat="0" applyProtection="0">
      <alignment horizontal="left" vertical="center" indent="1"/>
    </xf>
    <xf numFmtId="4" fontId="218" fillId="33" borderId="0" applyNumberFormat="0" applyProtection="0">
      <alignment horizontal="left" vertical="center" indent="1"/>
    </xf>
    <xf numFmtId="4" fontId="217" fillId="34" borderId="37" applyNumberFormat="0" applyProtection="0">
      <alignment horizontal="right" vertical="center"/>
    </xf>
    <xf numFmtId="4" fontId="218" fillId="34" borderId="37" applyNumberFormat="0" applyProtection="0">
      <alignment horizontal="right" vertical="center"/>
    </xf>
    <xf numFmtId="4" fontId="217" fillId="35" borderId="37" applyNumberFormat="0" applyProtection="0">
      <alignment horizontal="right" vertical="center"/>
    </xf>
    <xf numFmtId="4" fontId="218" fillId="35" borderId="37" applyNumberFormat="0" applyProtection="0">
      <alignment horizontal="right" vertical="center"/>
    </xf>
    <xf numFmtId="4" fontId="217" fillId="36" borderId="37" applyNumberFormat="0" applyProtection="0">
      <alignment horizontal="right" vertical="center"/>
    </xf>
    <xf numFmtId="4" fontId="218" fillId="36" borderId="37" applyNumberFormat="0" applyProtection="0">
      <alignment horizontal="right" vertical="center"/>
    </xf>
    <xf numFmtId="4" fontId="217" fillId="37" borderId="37" applyNumberFormat="0" applyProtection="0">
      <alignment horizontal="right" vertical="center"/>
    </xf>
    <xf numFmtId="4" fontId="218" fillId="37" borderId="37" applyNumberFormat="0" applyProtection="0">
      <alignment horizontal="right" vertical="center"/>
    </xf>
    <xf numFmtId="4" fontId="217" fillId="38" borderId="37" applyNumberFormat="0" applyProtection="0">
      <alignment horizontal="right" vertical="center"/>
    </xf>
    <xf numFmtId="4" fontId="218" fillId="38" borderId="37" applyNumberFormat="0" applyProtection="0">
      <alignment horizontal="right" vertical="center"/>
    </xf>
    <xf numFmtId="4" fontId="217" fillId="39" borderId="37" applyNumberFormat="0" applyProtection="0">
      <alignment horizontal="right" vertical="center"/>
    </xf>
    <xf numFmtId="4" fontId="218" fillId="39" borderId="37" applyNumberFormat="0" applyProtection="0">
      <alignment horizontal="right" vertical="center"/>
    </xf>
    <xf numFmtId="4" fontId="217" fillId="40" borderId="37" applyNumberFormat="0" applyProtection="0">
      <alignment horizontal="right" vertical="center"/>
    </xf>
    <xf numFmtId="4" fontId="218" fillId="40" borderId="37" applyNumberFormat="0" applyProtection="0">
      <alignment horizontal="right" vertical="center"/>
    </xf>
    <xf numFmtId="4" fontId="217" fillId="41" borderId="37" applyNumberFormat="0" applyProtection="0">
      <alignment horizontal="right" vertical="center"/>
    </xf>
    <xf numFmtId="4" fontId="218" fillId="41" borderId="37" applyNumberFormat="0" applyProtection="0">
      <alignment horizontal="right" vertical="center"/>
    </xf>
    <xf numFmtId="4" fontId="217" fillId="42" borderId="37" applyNumberFormat="0" applyProtection="0">
      <alignment horizontal="right" vertical="center"/>
    </xf>
    <xf numFmtId="4" fontId="218" fillId="42" borderId="37" applyNumberFormat="0" applyProtection="0">
      <alignment horizontal="right" vertical="center"/>
    </xf>
    <xf numFmtId="4" fontId="213" fillId="43" borderId="38" applyNumberFormat="0" applyProtection="0">
      <alignment horizontal="left" vertical="center" indent="1"/>
    </xf>
    <xf numFmtId="4" fontId="214" fillId="43" borderId="38" applyNumberFormat="0" applyProtection="0">
      <alignment horizontal="left" vertical="center" indent="1"/>
    </xf>
    <xf numFmtId="4" fontId="213" fillId="44" borderId="0" applyNumberFormat="0" applyProtection="0">
      <alignment horizontal="left" vertical="center" indent="1"/>
    </xf>
    <xf numFmtId="4" fontId="214" fillId="44" borderId="0" applyNumberFormat="0" applyProtection="0">
      <alignment horizontal="left" vertical="center" indent="1"/>
    </xf>
    <xf numFmtId="4" fontId="213" fillId="33" borderId="0" applyNumberFormat="0" applyProtection="0">
      <alignment horizontal="left" vertical="center" indent="1"/>
    </xf>
    <xf numFmtId="4" fontId="214" fillId="33" borderId="0" applyNumberFormat="0" applyProtection="0">
      <alignment horizontal="left" vertical="center" indent="1"/>
    </xf>
    <xf numFmtId="4" fontId="217" fillId="44" borderId="37" applyNumberFormat="0" applyProtection="0">
      <alignment horizontal="right" vertical="center"/>
    </xf>
    <xf numFmtId="4" fontId="218" fillId="44" borderId="37" applyNumberFormat="0" applyProtection="0">
      <alignment horizontal="right" vertical="center"/>
    </xf>
    <xf numFmtId="4" fontId="86" fillId="44" borderId="0" applyNumberFormat="0" applyProtection="0">
      <alignment horizontal="left" vertical="center" indent="1"/>
    </xf>
    <xf numFmtId="4" fontId="85" fillId="44" borderId="0" applyNumberFormat="0" applyProtection="0">
      <alignment horizontal="left" vertical="center" indent="1"/>
    </xf>
    <xf numFmtId="4" fontId="86" fillId="33" borderId="0" applyNumberFormat="0" applyProtection="0">
      <alignment horizontal="left" vertical="center" indent="1"/>
    </xf>
    <xf numFmtId="4" fontId="85" fillId="33" borderId="0" applyNumberFormat="0" applyProtection="0">
      <alignment horizontal="left" vertical="center" indent="1"/>
    </xf>
    <xf numFmtId="4" fontId="217" fillId="45" borderId="37" applyNumberFormat="0" applyProtection="0">
      <alignment vertical="center"/>
    </xf>
    <xf numFmtId="4" fontId="218" fillId="45" borderId="37" applyNumberFormat="0" applyProtection="0">
      <alignment vertical="center"/>
    </xf>
    <xf numFmtId="4" fontId="219" fillId="45" borderId="37" applyNumberFormat="0" applyProtection="0">
      <alignment vertical="center"/>
    </xf>
    <xf numFmtId="4" fontId="220" fillId="45" borderId="37" applyNumberFormat="0" applyProtection="0">
      <alignment vertical="center"/>
    </xf>
    <xf numFmtId="4" fontId="213" fillId="44" borderId="39" applyNumberFormat="0" applyProtection="0">
      <alignment horizontal="left" vertical="center" indent="1"/>
    </xf>
    <xf numFmtId="4" fontId="214" fillId="44" borderId="39" applyNumberFormat="0" applyProtection="0">
      <alignment horizontal="left" vertical="center" indent="1"/>
    </xf>
    <xf numFmtId="4" fontId="217" fillId="45" borderId="37" applyNumberFormat="0" applyProtection="0">
      <alignment horizontal="right" vertical="center"/>
    </xf>
    <xf numFmtId="4" fontId="218" fillId="45" borderId="37" applyNumberFormat="0" applyProtection="0">
      <alignment horizontal="right" vertical="center"/>
    </xf>
    <xf numFmtId="4" fontId="219" fillId="45" borderId="37" applyNumberFormat="0" applyProtection="0">
      <alignment horizontal="right" vertical="center"/>
    </xf>
    <xf numFmtId="4" fontId="220" fillId="45" borderId="37" applyNumberFormat="0" applyProtection="0">
      <alignment horizontal="right" vertical="center"/>
    </xf>
    <xf numFmtId="4" fontId="213" fillId="44" borderId="37" applyNumberFormat="0" applyProtection="0">
      <alignment horizontal="left" vertical="center" indent="1"/>
    </xf>
    <xf numFmtId="4" fontId="214" fillId="44" borderId="37" applyNumberFormat="0" applyProtection="0">
      <alignment horizontal="left" vertical="center" indent="1"/>
    </xf>
    <xf numFmtId="4" fontId="221" fillId="27" borderId="39" applyNumberFormat="0" applyProtection="0">
      <alignment horizontal="left" vertical="center" indent="1"/>
    </xf>
    <xf numFmtId="4" fontId="222" fillId="27" borderId="39" applyNumberFormat="0" applyProtection="0">
      <alignment horizontal="left" vertical="center" indent="1"/>
    </xf>
    <xf numFmtId="4" fontId="223" fillId="45" borderId="37" applyNumberFormat="0" applyProtection="0">
      <alignment horizontal="right" vertical="center"/>
    </xf>
    <xf numFmtId="4" fontId="224" fillId="45" borderId="37" applyNumberFormat="0" applyProtection="0">
      <alignment horizontal="right" vertical="center"/>
    </xf>
    <xf numFmtId="315" fontId="225" fillId="0" borderId="0" applyFont="0" applyFill="0" applyBorder="0" applyAlignment="0" applyProtection="0"/>
    <xf numFmtId="0" fontId="211" fillId="1" borderId="4" applyNumberFormat="0" applyFont="0" applyAlignment="0">
      <alignment horizontal="center"/>
    </xf>
    <xf numFmtId="0" fontId="211" fillId="1" borderId="4" applyNumberFormat="0" applyFont="0" applyAlignment="0">
      <alignment horizontal="center"/>
    </xf>
    <xf numFmtId="3" fontId="66" fillId="0" borderId="0"/>
    <xf numFmtId="0" fontId="226" fillId="0" borderId="0" applyNumberFormat="0" applyFill="0" applyBorder="0" applyAlignment="0">
      <alignment horizontal="center"/>
    </xf>
    <xf numFmtId="0" fontId="105" fillId="0" borderId="0"/>
    <xf numFmtId="178" fontId="227" fillId="0" borderId="0" applyNumberFormat="0" applyBorder="0" applyAlignment="0">
      <alignment horizontal="centerContinuous"/>
    </xf>
    <xf numFmtId="0" fontId="84" fillId="0" borderId="0"/>
    <xf numFmtId="0" fontId="84" fillId="0" borderId="0"/>
    <xf numFmtId="0" fontId="72" fillId="0" borderId="0" applyNumberFormat="0" applyFill="0" applyBorder="0" applyAlignment="0" applyProtection="0"/>
    <xf numFmtId="178" fontId="94" fillId="0" borderId="0" applyFont="0" applyFill="0" applyBorder="0" applyAlignment="0" applyProtection="0"/>
    <xf numFmtId="208" fontId="73" fillId="0" borderId="0" applyFont="0" applyFill="0" applyBorder="0" applyAlignment="0" applyProtection="0"/>
    <xf numFmtId="173"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48" fillId="0" borderId="0" applyFont="0" applyFill="0" applyBorder="0" applyAlignment="0" applyProtection="0"/>
    <xf numFmtId="187"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3" fontId="48" fillId="0" borderId="0" applyFont="0" applyFill="0" applyBorder="0" applyAlignment="0" applyProtection="0"/>
    <xf numFmtId="187"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73" fontId="48" fillId="0" borderId="0" applyFont="0" applyFill="0" applyBorder="0" applyAlignment="0" applyProtection="0"/>
    <xf numFmtId="187" fontId="73" fillId="0" borderId="0" applyFont="0" applyFill="0" applyBorder="0" applyAlignment="0" applyProtection="0"/>
    <xf numFmtId="166" fontId="73" fillId="0" borderId="0" applyFont="0" applyFill="0" applyBorder="0" applyAlignment="0" applyProtection="0"/>
    <xf numFmtId="0" fontId="72" fillId="0" borderId="0"/>
    <xf numFmtId="316" fontId="120"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78" fontId="94" fillId="0" borderId="0" applyFont="0" applyFill="0" applyBorder="0" applyAlignment="0" applyProtection="0"/>
    <xf numFmtId="205"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178" fontId="94"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0" fontId="72" fillId="0" borderId="0"/>
    <xf numFmtId="316" fontId="120"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209" fontId="73" fillId="0" borderId="0" applyFont="0" applyFill="0" applyBorder="0" applyAlignment="0" applyProtection="0"/>
    <xf numFmtId="167"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6" fontId="73" fillId="0" borderId="0" applyFont="0" applyFill="0" applyBorder="0" applyAlignment="0" applyProtection="0"/>
    <xf numFmtId="205" fontId="73" fillId="0" borderId="0" applyFont="0" applyFill="0" applyBorder="0" applyAlignment="0" applyProtection="0"/>
    <xf numFmtId="199" fontId="73" fillId="0" borderId="0" applyFont="0" applyFill="0" applyBorder="0" applyAlignment="0" applyProtection="0"/>
    <xf numFmtId="205" fontId="73" fillId="0" borderId="0" applyFont="0" applyFill="0" applyBorder="0" applyAlignment="0" applyProtection="0"/>
    <xf numFmtId="179" fontId="66" fillId="0" borderId="0" applyFont="0" applyFill="0" applyBorder="0" applyAlignment="0" applyProtection="0"/>
    <xf numFmtId="204" fontId="73" fillId="0" borderId="0" applyFont="0" applyFill="0" applyBorder="0" applyAlignment="0" applyProtection="0"/>
    <xf numFmtId="179" fontId="73" fillId="0" borderId="0" applyFont="0" applyFill="0" applyBorder="0" applyAlignment="0" applyProtection="0"/>
    <xf numFmtId="187" fontId="66" fillId="0" borderId="0" applyFont="0" applyFill="0" applyBorder="0" applyAlignment="0" applyProtection="0"/>
    <xf numFmtId="0" fontId="72" fillId="0" borderId="0"/>
    <xf numFmtId="208" fontId="73" fillId="0" borderId="0" applyFont="0" applyFill="0" applyBorder="0" applyAlignment="0" applyProtection="0"/>
    <xf numFmtId="316" fontId="120"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78" fontId="94" fillId="0" borderId="0" applyFont="0" applyFill="0" applyBorder="0" applyAlignment="0" applyProtection="0"/>
    <xf numFmtId="187" fontId="73" fillId="0" borderId="0" applyFont="0" applyFill="0" applyBorder="0" applyAlignment="0" applyProtection="0"/>
    <xf numFmtId="173" fontId="48" fillId="0" borderId="0" applyFont="0" applyFill="0" applyBorder="0" applyAlignment="0" applyProtection="0"/>
    <xf numFmtId="187" fontId="73" fillId="0" borderId="0" applyFont="0" applyFill="0" applyBorder="0" applyAlignment="0" applyProtection="0"/>
    <xf numFmtId="173" fontId="48" fillId="0" borderId="0" applyFont="0" applyFill="0" applyBorder="0" applyAlignment="0" applyProtection="0"/>
    <xf numFmtId="205" fontId="73" fillId="0" borderId="0" applyFont="0" applyFill="0" applyBorder="0" applyAlignment="0" applyProtection="0"/>
    <xf numFmtId="173" fontId="48" fillId="0" borderId="0" applyFont="0" applyFill="0" applyBorder="0" applyAlignment="0" applyProtection="0"/>
    <xf numFmtId="205" fontId="73" fillId="0" borderId="0" applyFont="0" applyFill="0" applyBorder="0" applyAlignment="0" applyProtection="0"/>
    <xf numFmtId="178" fontId="94" fillId="0" borderId="0" applyFont="0" applyFill="0" applyBorder="0" applyAlignment="0" applyProtection="0"/>
    <xf numFmtId="187" fontId="73" fillId="0" borderId="0" applyFont="0" applyFill="0" applyBorder="0" applyAlignment="0" applyProtection="0"/>
    <xf numFmtId="178" fontId="94"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209" fontId="73" fillId="0" borderId="0" applyFont="0" applyFill="0" applyBorder="0" applyAlignment="0" applyProtection="0"/>
    <xf numFmtId="41" fontId="73" fillId="0" borderId="0" applyFont="0" applyFill="0" applyBorder="0" applyAlignment="0" applyProtection="0"/>
    <xf numFmtId="188" fontId="73" fillId="0" borderId="0" applyFont="0" applyFill="0" applyBorder="0" applyAlignment="0" applyProtection="0"/>
    <xf numFmtId="41" fontId="73" fillId="0" borderId="0" applyFont="0" applyFill="0" applyBorder="0" applyAlignment="0" applyProtection="0"/>
    <xf numFmtId="179" fontId="66"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188" fontId="73" fillId="0" borderId="0" applyFont="0" applyFill="0" applyBorder="0" applyAlignment="0" applyProtection="0"/>
    <xf numFmtId="173" fontId="73" fillId="0" borderId="0" applyFont="0" applyFill="0" applyBorder="0" applyAlignment="0" applyProtection="0"/>
    <xf numFmtId="188" fontId="73" fillId="0" borderId="0" applyFont="0" applyFill="0" applyBorder="0" applyAlignment="0" applyProtection="0"/>
    <xf numFmtId="173" fontId="73" fillId="0" borderId="0" applyFont="0" applyFill="0" applyBorder="0" applyAlignment="0" applyProtection="0"/>
    <xf numFmtId="179" fontId="73" fillId="0" borderId="0" applyFont="0" applyFill="0" applyBorder="0" applyAlignment="0" applyProtection="0"/>
    <xf numFmtId="173" fontId="73" fillId="0" borderId="0" applyFont="0" applyFill="0" applyBorder="0" applyAlignment="0" applyProtection="0"/>
    <xf numFmtId="200" fontId="88" fillId="0" borderId="0" applyFont="0" applyFill="0" applyBorder="0" applyAlignment="0" applyProtection="0"/>
    <xf numFmtId="173" fontId="73" fillId="0" borderId="0" applyFont="0" applyFill="0" applyBorder="0" applyAlignment="0" applyProtection="0"/>
    <xf numFmtId="201" fontId="73" fillId="0" borderId="0" applyFont="0" applyFill="0" applyBorder="0" applyAlignment="0" applyProtection="0"/>
    <xf numFmtId="167" fontId="73" fillId="0" borderId="0" applyFont="0" applyFill="0" applyBorder="0" applyAlignment="0" applyProtection="0"/>
    <xf numFmtId="179"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79" fontId="66" fillId="0" borderId="0" applyFont="0" applyFill="0" applyBorder="0" applyAlignment="0" applyProtection="0"/>
    <xf numFmtId="173"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79" fontId="73" fillId="0" borderId="0" applyFont="0" applyFill="0" applyBorder="0" applyAlignment="0" applyProtection="0"/>
    <xf numFmtId="187" fontId="73" fillId="0" borderId="0" applyFont="0" applyFill="0" applyBorder="0" applyAlignment="0" applyProtection="0"/>
    <xf numFmtId="200" fontId="88" fillId="0" borderId="0" applyFont="0" applyFill="0" applyBorder="0" applyAlignment="0" applyProtection="0"/>
    <xf numFmtId="41" fontId="73" fillId="0" borderId="0" applyFont="0" applyFill="0" applyBorder="0" applyAlignment="0" applyProtection="0"/>
    <xf numFmtId="201" fontId="73" fillId="0" borderId="0" applyFont="0" applyFill="0" applyBorder="0" applyAlignment="0" applyProtection="0"/>
    <xf numFmtId="167" fontId="73" fillId="0" borderId="0" applyFont="0" applyFill="0" applyBorder="0" applyAlignment="0" applyProtection="0"/>
    <xf numFmtId="179" fontId="73" fillId="0" borderId="0" applyFont="0" applyFill="0" applyBorder="0" applyAlignment="0" applyProtection="0"/>
    <xf numFmtId="173" fontId="73" fillId="0" borderId="0" applyFont="0" applyFill="0" applyBorder="0" applyAlignment="0" applyProtection="0"/>
    <xf numFmtId="202"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167"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202" fontId="73" fillId="0" borderId="0" applyFont="0" applyFill="0" applyBorder="0" applyAlignment="0" applyProtection="0"/>
    <xf numFmtId="0" fontId="72" fillId="0" borderId="0"/>
    <xf numFmtId="316" fontId="120"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66" fillId="0" borderId="0" applyFont="0" applyFill="0" applyBorder="0" applyAlignment="0" applyProtection="0"/>
    <xf numFmtId="173"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4" fontId="228" fillId="0" borderId="0"/>
    <xf numFmtId="0" fontId="229" fillId="0" borderId="0"/>
    <xf numFmtId="0" fontId="185" fillId="0" borderId="0"/>
    <xf numFmtId="0" fontId="186" fillId="0" borderId="0"/>
    <xf numFmtId="40" fontId="230" fillId="0" borderId="0" applyBorder="0">
      <alignment horizontal="right"/>
    </xf>
    <xf numFmtId="0" fontId="231" fillId="0" borderId="0"/>
    <xf numFmtId="317" fontId="120" fillId="0" borderId="3">
      <alignment horizontal="right" vertical="center"/>
    </xf>
    <xf numFmtId="317" fontId="120" fillId="0" borderId="3">
      <alignment horizontal="right" vertical="center"/>
    </xf>
    <xf numFmtId="317" fontId="120" fillId="0" borderId="3">
      <alignment horizontal="right" vertical="center"/>
    </xf>
    <xf numFmtId="172" fontId="232" fillId="0" borderId="3">
      <alignment horizontal="right" vertical="center"/>
    </xf>
    <xf numFmtId="172" fontId="232" fillId="0" borderId="3">
      <alignment horizontal="right" vertical="center"/>
    </xf>
    <xf numFmtId="317" fontId="12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8" fontId="73" fillId="0" borderId="3">
      <alignment horizontal="right" vertical="center"/>
    </xf>
    <xf numFmtId="318" fontId="73"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9" fontId="94" fillId="0" borderId="3">
      <alignment horizontal="right" vertical="center"/>
    </xf>
    <xf numFmtId="319" fontId="94" fillId="0" borderId="3">
      <alignment horizontal="right" vertical="center"/>
    </xf>
    <xf numFmtId="320" fontId="110" fillId="0" borderId="3">
      <alignment horizontal="right" vertical="center"/>
    </xf>
    <xf numFmtId="321" fontId="105" fillId="0" borderId="3">
      <alignment horizontal="right" vertical="center"/>
    </xf>
    <xf numFmtId="321" fontId="105" fillId="0" borderId="3">
      <alignment horizontal="right" vertical="center"/>
    </xf>
    <xf numFmtId="318" fontId="73" fillId="0" borderId="3">
      <alignment horizontal="right" vertical="center"/>
    </xf>
    <xf numFmtId="318" fontId="73"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21" fontId="4" fillId="0" borderId="3">
      <alignment horizontal="right" vertical="center"/>
    </xf>
    <xf numFmtId="321" fontId="4"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18" fontId="73" fillId="0" borderId="3">
      <alignment horizontal="right" vertical="center"/>
    </xf>
    <xf numFmtId="318" fontId="73" fillId="0" borderId="3">
      <alignment horizontal="right" vertical="center"/>
    </xf>
    <xf numFmtId="321" fontId="4" fillId="0" borderId="3">
      <alignment horizontal="right" vertical="center"/>
    </xf>
    <xf numFmtId="321" fontId="4"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18" fontId="73" fillId="0" borderId="3">
      <alignment horizontal="right" vertical="center"/>
    </xf>
    <xf numFmtId="318" fontId="73"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8" fontId="73" fillId="0" borderId="3">
      <alignment horizontal="right" vertical="center"/>
    </xf>
    <xf numFmtId="318" fontId="73"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8" fontId="73" fillId="0" borderId="3">
      <alignment horizontal="right" vertical="center"/>
    </xf>
    <xf numFmtId="318" fontId="73" fillId="0" borderId="3">
      <alignment horizontal="right" vertical="center"/>
    </xf>
    <xf numFmtId="324" fontId="233" fillId="3" borderId="40" applyFont="0" applyFill="0" applyBorder="0"/>
    <xf numFmtId="324" fontId="233" fillId="3" borderId="40" applyFont="0" applyFill="0" applyBorder="0"/>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21" fontId="105" fillId="0" borderId="3">
      <alignment horizontal="right" vertical="center"/>
    </xf>
    <xf numFmtId="321" fontId="105" fillId="0" borderId="3">
      <alignment horizontal="right" vertical="center"/>
    </xf>
    <xf numFmtId="318" fontId="73" fillId="0" borderId="3">
      <alignment horizontal="right" vertical="center"/>
    </xf>
    <xf numFmtId="318" fontId="73"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24" fontId="233" fillId="3" borderId="40" applyFont="0" applyFill="0" applyBorder="0"/>
    <xf numFmtId="324" fontId="233" fillId="3" borderId="40" applyFont="0" applyFill="0" applyBorder="0"/>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18" fontId="73" fillId="0" borderId="3">
      <alignment horizontal="right" vertical="center"/>
    </xf>
    <xf numFmtId="318" fontId="7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1" fontId="4" fillId="0" borderId="3">
      <alignment horizontal="right" vertical="center"/>
    </xf>
    <xf numFmtId="321" fontId="4"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25" fontId="48" fillId="0" borderId="3">
      <alignment horizontal="right" vertical="center"/>
    </xf>
    <xf numFmtId="325" fontId="48" fillId="0" borderId="3">
      <alignment horizontal="right" vertical="center"/>
    </xf>
    <xf numFmtId="325" fontId="48" fillId="0" borderId="3">
      <alignment horizontal="right" vertical="center"/>
    </xf>
    <xf numFmtId="325" fontId="48" fillId="0" borderId="3">
      <alignment horizontal="right" vertical="center"/>
    </xf>
    <xf numFmtId="325" fontId="48" fillId="0" borderId="3">
      <alignment horizontal="right" vertical="center"/>
    </xf>
    <xf numFmtId="325" fontId="48"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18" fontId="73" fillId="0" borderId="3">
      <alignment horizontal="right" vertical="center"/>
    </xf>
    <xf numFmtId="318" fontId="73"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24" fontId="233" fillId="3" borderId="40" applyFont="0" applyFill="0" applyBorder="0"/>
    <xf numFmtId="324" fontId="233" fillId="3" borderId="40" applyFont="0" applyFill="0" applyBorder="0"/>
    <xf numFmtId="299" fontId="48" fillId="0" borderId="3">
      <alignment horizontal="right" vertical="center"/>
    </xf>
    <xf numFmtId="299" fontId="48" fillId="0" borderId="3">
      <alignment horizontal="right" vertical="center"/>
    </xf>
    <xf numFmtId="299" fontId="48" fillId="0" borderId="3">
      <alignment horizontal="right" vertical="center"/>
    </xf>
    <xf numFmtId="299" fontId="48" fillId="0" borderId="3">
      <alignment horizontal="right" vertical="center"/>
    </xf>
    <xf numFmtId="299" fontId="48" fillId="0" borderId="3">
      <alignment horizontal="right" vertical="center"/>
    </xf>
    <xf numFmtId="299" fontId="48" fillId="0" borderId="3">
      <alignment horizontal="right" vertical="center"/>
    </xf>
    <xf numFmtId="317" fontId="120"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324" fontId="233" fillId="3" borderId="40" applyFont="0" applyFill="0" applyBorder="0"/>
    <xf numFmtId="324" fontId="233" fillId="3" borderId="40" applyFont="0" applyFill="0" applyBorder="0"/>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26" fontId="234" fillId="0" borderId="3">
      <alignment horizontal="right" vertical="center"/>
    </xf>
    <xf numFmtId="326" fontId="234" fillId="0" borderId="3">
      <alignment horizontal="right" vertical="center"/>
    </xf>
    <xf numFmtId="317" fontId="120" fillId="0" borderId="3">
      <alignment horizontal="right" vertical="center"/>
    </xf>
    <xf numFmtId="317" fontId="120"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17" fontId="120" fillId="0" borderId="3">
      <alignment horizontal="right" vertical="center"/>
    </xf>
    <xf numFmtId="317" fontId="120" fillId="0" borderId="3">
      <alignment horizontal="right" vertical="center"/>
    </xf>
    <xf numFmtId="318" fontId="73" fillId="0" borderId="3">
      <alignment horizontal="right" vertical="center"/>
    </xf>
    <xf numFmtId="318" fontId="73" fillId="0" borderId="3">
      <alignment horizontal="right" vertical="center"/>
    </xf>
    <xf numFmtId="49" fontId="85" fillId="0" borderId="0" applyFill="0" applyBorder="0" applyAlignment="0"/>
    <xf numFmtId="0" fontId="105"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5" fontId="105"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0" fontId="235" fillId="0" borderId="0" applyFill="0" applyBorder="0" applyProtection="0">
      <alignment horizontal="left" vertical="top"/>
    </xf>
    <xf numFmtId="0" fontId="236" fillId="0" borderId="15">
      <alignment horizontal="center" vertical="center" wrapText="1"/>
    </xf>
    <xf numFmtId="0" fontId="237" fillId="0" borderId="0">
      <alignment horizontal="center"/>
    </xf>
    <xf numFmtId="40" fontId="162" fillId="0" borderId="0"/>
    <xf numFmtId="3" fontId="238" fillId="0" borderId="0" applyNumberFormat="0" applyFill="0" applyBorder="0" applyAlignment="0" applyProtection="0">
      <alignment horizontal="center" wrapText="1"/>
    </xf>
    <xf numFmtId="0" fontId="239" fillId="0" borderId="6" applyBorder="0" applyAlignment="0">
      <alignment horizontal="center" vertical="center"/>
    </xf>
    <xf numFmtId="0" fontId="239" fillId="0" borderId="6"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3" fontId="242" fillId="0" borderId="8" applyNumberFormat="0" applyAlignment="0">
      <alignment horizontal="center" vertical="center"/>
    </xf>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43" applyNumberFormat="0" applyFill="0" applyAlignment="0" applyProtection="0"/>
    <xf numFmtId="0" fontId="246" fillId="0" borderId="44">
      <alignment horizontal="center"/>
    </xf>
    <xf numFmtId="173" fontId="105" fillId="0" borderId="0" applyFont="0" applyFill="0" applyBorder="0" applyAlignment="0" applyProtection="0"/>
    <xf numFmtId="329" fontId="105" fillId="0" borderId="0" applyFont="0" applyFill="0" applyBorder="0" applyAlignment="0" applyProtection="0"/>
    <xf numFmtId="179" fontId="120" fillId="0" borderId="3">
      <alignment horizontal="center"/>
    </xf>
    <xf numFmtId="179" fontId="120" fillId="0" borderId="3">
      <alignment horizontal="center"/>
    </xf>
    <xf numFmtId="0" fontId="247" fillId="0" borderId="45" applyProtection="0"/>
    <xf numFmtId="0" fontId="120" fillId="0" borderId="0" applyProtection="0"/>
    <xf numFmtId="0" fontId="4" fillId="0" borderId="0" applyProtection="0"/>
    <xf numFmtId="0" fontId="129" fillId="0" borderId="0" applyProtection="0"/>
    <xf numFmtId="0" fontId="247" fillId="0" borderId="45" applyProtection="0"/>
    <xf numFmtId="0" fontId="120" fillId="0" borderId="0" applyProtection="0"/>
    <xf numFmtId="0" fontId="4" fillId="0" borderId="0" applyProtection="0"/>
    <xf numFmtId="0" fontId="129" fillId="0" borderId="0" applyProtection="0"/>
    <xf numFmtId="330"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187" fillId="0" borderId="47" applyNumberFormat="0" applyAlignment="0">
      <alignment horizontal="center"/>
    </xf>
    <xf numFmtId="251" fontId="177" fillId="0" borderId="0" applyFont="0" applyFill="0" applyBorder="0" applyAlignment="0" applyProtection="0"/>
    <xf numFmtId="186" fontId="105" fillId="0" borderId="0" applyFont="0" applyFill="0" applyBorder="0" applyAlignment="0" applyProtection="0"/>
    <xf numFmtId="331" fontId="105" fillId="0" borderId="0" applyFont="0" applyFill="0" applyBorder="0" applyAlignment="0" applyProtection="0"/>
    <xf numFmtId="0" fontId="83" fillId="0" borderId="48">
      <alignment horizontal="center"/>
    </xf>
    <xf numFmtId="0" fontId="83" fillId="0" borderId="48">
      <alignment horizontal="center"/>
    </xf>
    <xf numFmtId="325" fontId="120" fillId="0" borderId="0"/>
    <xf numFmtId="332" fontId="120" fillId="0" borderId="2"/>
    <xf numFmtId="332" fontId="120" fillId="0" borderId="2"/>
    <xf numFmtId="0" fontId="251" fillId="0" borderId="0"/>
    <xf numFmtId="0" fontId="251" fillId="0" borderId="0" applyProtection="0"/>
    <xf numFmtId="0" fontId="191" fillId="0" borderId="0"/>
    <xf numFmtId="0" fontId="252" fillId="0" borderId="0"/>
    <xf numFmtId="0" fontId="191" fillId="0" borderId="0"/>
    <xf numFmtId="3" fontId="120" fillId="0" borderId="0" applyNumberFormat="0" applyBorder="0" applyAlignment="0" applyProtection="0">
      <alignment horizontal="centerContinuous"/>
      <protection locked="0"/>
    </xf>
    <xf numFmtId="3" fontId="253" fillId="0" borderId="0">
      <protection locked="0"/>
    </xf>
    <xf numFmtId="3" fontId="93" fillId="0" borderId="0">
      <protection locked="0"/>
    </xf>
    <xf numFmtId="3" fontId="93" fillId="0" borderId="0">
      <protection locked="0"/>
    </xf>
    <xf numFmtId="0" fontId="251" fillId="0" borderId="0"/>
    <xf numFmtId="0" fontId="251" fillId="0" borderId="0" applyProtection="0"/>
    <xf numFmtId="0" fontId="191" fillId="0" borderId="0"/>
    <xf numFmtId="0" fontId="252" fillId="0" borderId="0"/>
    <xf numFmtId="0" fontId="191" fillId="0" borderId="0"/>
    <xf numFmtId="0" fontId="254" fillId="0" borderId="49" applyFill="0" applyBorder="0" applyAlignment="0">
      <alignment horizontal="center"/>
    </xf>
    <xf numFmtId="164" fontId="255" fillId="46" borderId="6">
      <alignment vertical="top"/>
    </xf>
    <xf numFmtId="164" fontId="255" fillId="46" borderId="6">
      <alignment vertical="top"/>
    </xf>
    <xf numFmtId="294" fontId="255" fillId="46" borderId="6">
      <alignment vertical="top"/>
    </xf>
    <xf numFmtId="164"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94" fontId="256"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0" fontId="257" fillId="0" borderId="8">
      <alignment horizontal="left" vertical="center"/>
    </xf>
    <xf numFmtId="0" fontId="258" fillId="47" borderId="2">
      <alignment horizontal="left" vertical="center"/>
    </xf>
    <xf numFmtId="0" fontId="258" fillId="47" borderId="2">
      <alignment horizontal="left" vertical="center"/>
    </xf>
    <xf numFmtId="165" fontId="259" fillId="48" borderId="6"/>
    <xf numFmtId="165" fontId="259" fillId="48" borderId="6"/>
    <xf numFmtId="333" fontId="259" fillId="48" borderId="6"/>
    <xf numFmtId="164" fontId="175" fillId="0" borderId="6">
      <alignment horizontal="left" vertical="top"/>
    </xf>
    <xf numFmtId="164" fontId="175" fillId="0" borderId="6">
      <alignment horizontal="left" vertical="top"/>
    </xf>
    <xf numFmtId="294" fontId="260" fillId="0" borderId="6">
      <alignment horizontal="left" vertical="top"/>
    </xf>
    <xf numFmtId="0" fontId="261" fillId="49" borderId="0">
      <alignment horizontal="left" vertical="center"/>
    </xf>
    <xf numFmtId="0" fontId="4" fillId="0" borderId="0" applyFont="0" applyFill="0" applyBorder="0" applyAlignment="0" applyProtection="0"/>
    <xf numFmtId="0" fontId="4" fillId="0" borderId="0" applyFont="0" applyFill="0" applyBorder="0" applyAlignment="0" applyProtection="0"/>
    <xf numFmtId="334" fontId="4" fillId="0" borderId="0" applyFont="0" applyFill="0" applyBorder="0" applyAlignment="0" applyProtection="0"/>
    <xf numFmtId="335" fontId="4" fillId="0" borderId="0" applyFont="0" applyFill="0" applyBorder="0" applyAlignment="0" applyProtection="0"/>
    <xf numFmtId="166" fontId="146" fillId="0" borderId="0" applyFont="0" applyFill="0" applyBorder="0" applyAlignment="0" applyProtection="0"/>
    <xf numFmtId="168" fontId="146" fillId="0" borderId="0" applyFont="0" applyFill="0" applyBorder="0" applyAlignment="0" applyProtection="0"/>
    <xf numFmtId="0" fontId="262"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173" fontId="48" fillId="0" borderId="0" applyFont="0" applyFill="0" applyBorder="0" applyAlignment="0" applyProtection="0"/>
    <xf numFmtId="166" fontId="266" fillId="0" borderId="0" applyFont="0" applyFill="0" applyBorder="0" applyAlignment="0" applyProtection="0"/>
    <xf numFmtId="168" fontId="266" fillId="0" borderId="0" applyFont="0" applyFill="0" applyBorder="0" applyAlignment="0" applyProtection="0"/>
    <xf numFmtId="0" fontId="266" fillId="0" borderId="0"/>
    <xf numFmtId="0" fontId="267" fillId="0" borderId="0" applyFont="0" applyFill="0" applyBorder="0" applyAlignment="0" applyProtection="0"/>
    <xf numFmtId="0" fontId="267" fillId="0" borderId="0" applyFont="0" applyFill="0" applyBorder="0" applyAlignment="0" applyProtection="0"/>
    <xf numFmtId="0" fontId="38" fillId="0" borderId="0">
      <alignment vertical="center"/>
    </xf>
    <xf numFmtId="40" fontId="268" fillId="0" borderId="0" applyFont="0" applyFill="0" applyBorder="0" applyAlignment="0" applyProtection="0"/>
    <xf numFmtId="38" fontId="268" fillId="0" borderId="0" applyFont="0" applyFill="0" applyBorder="0" applyAlignment="0" applyProtection="0"/>
    <xf numFmtId="0" fontId="268" fillId="0" borderId="0" applyFont="0" applyFill="0" applyBorder="0" applyAlignment="0" applyProtection="0"/>
    <xf numFmtId="0" fontId="268" fillId="0" borderId="0" applyFont="0" applyFill="0" applyBorder="0" applyAlignment="0" applyProtection="0"/>
    <xf numFmtId="9" fontId="269" fillId="0" borderId="0" applyBorder="0" applyAlignment="0" applyProtection="0"/>
    <xf numFmtId="0" fontId="270" fillId="0" borderId="0"/>
    <xf numFmtId="0" fontId="271" fillId="0" borderId="18"/>
    <xf numFmtId="194" fontId="68"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94" fillId="0" borderId="0" applyFont="0" applyFill="0" applyBorder="0" applyAlignment="0" applyProtection="0"/>
    <xf numFmtId="0" fontId="194" fillId="0" borderId="0" applyFont="0" applyFill="0" applyBorder="0" applyAlignment="0" applyProtection="0"/>
    <xf numFmtId="186" fontId="4" fillId="0" borderId="0" applyFont="0" applyFill="0" applyBorder="0" applyAlignment="0" applyProtection="0"/>
    <xf numFmtId="228" fontId="4" fillId="0" borderId="0" applyFont="0" applyFill="0" applyBorder="0" applyAlignment="0" applyProtection="0"/>
    <xf numFmtId="0" fontId="194" fillId="0" borderId="0"/>
    <xf numFmtId="0" fontId="194" fillId="0" borderId="0"/>
    <xf numFmtId="0" fontId="272" fillId="0" borderId="0"/>
    <xf numFmtId="0" fontId="91" fillId="0" borderId="0"/>
    <xf numFmtId="173" fontId="70" fillId="0" borderId="0" applyFont="0" applyFill="0" applyBorder="0" applyAlignment="0" applyProtection="0"/>
    <xf numFmtId="174" fontId="70"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 fillId="0" borderId="0"/>
    <xf numFmtId="191" fontId="70" fillId="0" borderId="0" applyFont="0" applyFill="0" applyBorder="0" applyAlignment="0" applyProtection="0"/>
    <xf numFmtId="336" fontId="79" fillId="0" borderId="0" applyFont="0" applyFill="0" applyBorder="0" applyAlignment="0" applyProtection="0"/>
    <xf numFmtId="337" fontId="70"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0" fontId="2" fillId="0" borderId="0"/>
    <xf numFmtId="0" fontId="2" fillId="0" borderId="0"/>
    <xf numFmtId="43" fontId="6" fillId="0" borderId="0" applyFont="0" applyFill="0" applyBorder="0" applyAlignment="0" applyProtection="0"/>
    <xf numFmtId="0" fontId="105" fillId="0" borderId="0"/>
    <xf numFmtId="0" fontId="67" fillId="0" borderId="0"/>
    <xf numFmtId="0" fontId="84" fillId="0" borderId="0"/>
    <xf numFmtId="169" fontId="42"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195" fillId="0" borderId="0"/>
    <xf numFmtId="0" fontId="196" fillId="0" borderId="0"/>
    <xf numFmtId="0" fontId="6" fillId="0" borderId="0"/>
    <xf numFmtId="0" fontId="121" fillId="0" borderId="0"/>
    <xf numFmtId="0" fontId="4" fillId="0" borderId="0"/>
    <xf numFmtId="0" fontId="278" fillId="0" borderId="0"/>
    <xf numFmtId="0" fontId="298" fillId="0" borderId="0"/>
    <xf numFmtId="0" fontId="105" fillId="0" borderId="0"/>
    <xf numFmtId="0" fontId="4" fillId="0" borderId="0"/>
    <xf numFmtId="0" fontId="105" fillId="0" borderId="0"/>
    <xf numFmtId="186" fontId="66" fillId="0" borderId="0" applyFont="0" applyFill="0" applyBorder="0" applyAlignment="0" applyProtection="0"/>
    <xf numFmtId="0" fontId="67" fillId="0" borderId="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302" fillId="52" borderId="0" applyNumberFormat="0" applyBorder="0" applyAlignment="0" applyProtection="0"/>
    <xf numFmtId="0" fontId="38" fillId="0" borderId="0"/>
    <xf numFmtId="216" fontId="48" fillId="0" borderId="0" applyFill="0" applyBorder="0" applyAlignment="0"/>
    <xf numFmtId="43" fontId="4"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83" fontId="70" fillId="0" borderId="0" applyFont="0" applyFill="0" applyBorder="0" applyAlignment="0" applyProtection="0"/>
    <xf numFmtId="179" fontId="70" fillId="0" borderId="0" applyFont="0" applyFill="0" applyBorder="0" applyAlignment="0" applyProtection="0"/>
    <xf numFmtId="41" fontId="299" fillId="0" borderId="0" applyFont="0" applyFill="0" applyBorder="0" applyAlignment="0" applyProtection="0"/>
    <xf numFmtId="41" fontId="27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4"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4"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9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36" fillId="0" borderId="0" applyFont="0" applyFill="0" applyBorder="0" applyAlignment="0" applyProtection="0"/>
    <xf numFmtId="175" fontId="4"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173" fontId="7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21"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5"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42" fillId="0" borderId="0" applyFont="0" applyFill="0" applyBorder="0" applyAlignment="0" applyProtection="0"/>
    <xf numFmtId="43" fontId="299" fillId="0" borderId="0" applyFont="0" applyFill="0" applyBorder="0" applyAlignment="0" applyProtection="0"/>
    <xf numFmtId="43" fontId="48" fillId="0" borderId="0" applyFont="0" applyFill="0" applyBorder="0" applyAlignment="0" applyProtection="0"/>
    <xf numFmtId="43" fontId="299" fillId="0" borderId="0" applyFont="0" applyFill="0" applyBorder="0" applyAlignment="0" applyProtection="0"/>
    <xf numFmtId="43" fontId="42" fillId="0" borderId="0" applyFont="0" applyFill="0" applyBorder="0" applyAlignment="0" applyProtection="0"/>
    <xf numFmtId="254" fontId="38" fillId="0" borderId="0" applyFont="0" applyFill="0" applyBorder="0" applyAlignment="0" applyProtection="0"/>
    <xf numFmtId="43" fontId="4" fillId="0" borderId="0" applyFont="0" applyFill="0" applyBorder="0" applyAlignment="0" applyProtection="0"/>
    <xf numFmtId="174"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174" fontId="4"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4"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70"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27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37" fillId="0" borderId="0" applyFont="0" applyFill="0" applyBorder="0" applyAlignment="0" applyProtection="0"/>
    <xf numFmtId="43" fontId="303" fillId="0" borderId="0" applyFont="0" applyFill="0" applyBorder="0" applyAlignment="0" applyProtection="0"/>
    <xf numFmtId="43" fontId="303" fillId="0" borderId="0" applyFont="0" applyFill="0" applyBorder="0" applyAlignment="0" applyProtection="0"/>
    <xf numFmtId="43" fontId="3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5" fillId="0" borderId="0" applyFont="0" applyFill="0" applyBorder="0" applyAlignment="0" applyProtection="0"/>
    <xf numFmtId="43" fontId="4" fillId="0" borderId="0" applyFont="0" applyFill="0" applyBorder="0" applyAlignment="0" applyProtection="0"/>
    <xf numFmtId="228" fontId="42" fillId="0" borderId="0" applyFont="0" applyFill="0" applyBorder="0" applyAlignment="0" applyProtection="0"/>
    <xf numFmtId="228" fontId="42" fillId="0" borderId="0" applyFont="0" applyFill="0" applyBorder="0" applyAlignment="0" applyProtection="0"/>
    <xf numFmtId="178"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68" fontId="42" fillId="0" borderId="0" applyFont="0" applyFill="0" applyBorder="0" applyAlignment="0" applyProtection="0"/>
    <xf numFmtId="44" fontId="195"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0" fontId="304" fillId="51" borderId="0" applyNumberFormat="0" applyBorder="0" applyAlignment="0" applyProtection="0"/>
    <xf numFmtId="0" fontId="173" fillId="0" borderId="0" applyNumberFormat="0" applyFill="0" applyBorder="0" applyAlignment="0" applyProtection="0"/>
    <xf numFmtId="0" fontId="83" fillId="0" borderId="0" applyNumberFormat="0" applyFill="0" applyBorder="0" applyAlignment="0" applyProtection="0"/>
    <xf numFmtId="41" fontId="73" fillId="0" borderId="0" applyFont="0" applyFill="0" applyBorder="0" applyAlignment="0" applyProtection="0"/>
    <xf numFmtId="0" fontId="301" fillId="0" borderId="0"/>
    <xf numFmtId="0" fontId="67" fillId="0" borderId="0"/>
    <xf numFmtId="0" fontId="305" fillId="53" borderId="0" applyNumberFormat="0" applyBorder="0" applyAlignment="0" applyProtection="0"/>
    <xf numFmtId="0" fontId="4" fillId="0" borderId="0"/>
    <xf numFmtId="301" fontId="191" fillId="0" borderId="0"/>
    <xf numFmtId="0" fontId="4" fillId="0" borderId="0"/>
    <xf numFmtId="341" fontId="193" fillId="0" borderId="0"/>
    <xf numFmtId="0" fontId="297" fillId="0" borderId="0"/>
    <xf numFmtId="0" fontId="195" fillId="0" borderId="0"/>
    <xf numFmtId="0" fontId="94" fillId="0" borderId="0"/>
    <xf numFmtId="0" fontId="4" fillId="0" borderId="0"/>
    <xf numFmtId="0" fontId="197" fillId="0" borderId="0"/>
    <xf numFmtId="0" fontId="197" fillId="0" borderId="0"/>
    <xf numFmtId="0" fontId="4" fillId="0" borderId="0"/>
    <xf numFmtId="0" fontId="70" fillId="0" borderId="0"/>
    <xf numFmtId="0" fontId="42" fillId="0" borderId="0"/>
    <xf numFmtId="0" fontId="70" fillId="0" borderId="0"/>
    <xf numFmtId="0" fontId="4" fillId="0" borderId="0"/>
    <xf numFmtId="0" fontId="195" fillId="0" borderId="0"/>
    <xf numFmtId="0" fontId="195" fillId="0" borderId="0"/>
    <xf numFmtId="0" fontId="198" fillId="0" borderId="0"/>
    <xf numFmtId="0" fontId="4" fillId="0" borderId="0"/>
    <xf numFmtId="0" fontId="42" fillId="0" borderId="0"/>
    <xf numFmtId="0" fontId="42" fillId="0" borderId="0"/>
    <xf numFmtId="0" fontId="72" fillId="0" borderId="0"/>
    <xf numFmtId="0" fontId="42" fillId="0" borderId="0"/>
    <xf numFmtId="0" fontId="42" fillId="0" borderId="0"/>
    <xf numFmtId="0" fontId="38" fillId="0" borderId="0"/>
    <xf numFmtId="0" fontId="42" fillId="0" borderId="0"/>
    <xf numFmtId="0" fontId="195" fillId="0" borderId="0"/>
    <xf numFmtId="0" fontId="6" fillId="0" borderId="0"/>
    <xf numFmtId="0" fontId="198" fillId="0" borderId="0"/>
    <xf numFmtId="0" fontId="198" fillId="0" borderId="0"/>
    <xf numFmtId="0" fontId="42" fillId="0" borderId="0"/>
    <xf numFmtId="0" fontId="42" fillId="0" borderId="0"/>
    <xf numFmtId="0" fontId="42"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6" fillId="0" borderId="0"/>
    <xf numFmtId="0" fontId="42" fillId="0" borderId="0"/>
    <xf numFmtId="0" fontId="42" fillId="0" borderId="0"/>
    <xf numFmtId="0" fontId="42"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4" fillId="0" borderId="0"/>
    <xf numFmtId="0" fontId="198" fillId="0" borderId="0"/>
    <xf numFmtId="0" fontId="4" fillId="0" borderId="0"/>
    <xf numFmtId="0" fontId="42" fillId="0" borderId="0"/>
    <xf numFmtId="0" fontId="42" fillId="0" borderId="0"/>
    <xf numFmtId="0" fontId="42" fillId="0" borderId="0"/>
    <xf numFmtId="0" fontId="42" fillId="0" borderId="0"/>
    <xf numFmtId="0" fontId="4" fillId="0" borderId="0"/>
    <xf numFmtId="0" fontId="121" fillId="0" borderId="0"/>
    <xf numFmtId="0" fontId="121" fillId="0" borderId="0"/>
    <xf numFmtId="0" fontId="4" fillId="0" borderId="0"/>
    <xf numFmtId="0" fontId="42" fillId="0" borderId="0"/>
    <xf numFmtId="0" fontId="42" fillId="0" borderId="0"/>
    <xf numFmtId="0" fontId="4" fillId="0" borderId="0"/>
    <xf numFmtId="0" fontId="105" fillId="0" borderId="0"/>
    <xf numFmtId="0" fontId="105" fillId="0" borderId="0"/>
    <xf numFmtId="0" fontId="105" fillId="0" borderId="0"/>
    <xf numFmtId="0" fontId="4" fillId="0" borderId="0"/>
    <xf numFmtId="0" fontId="196" fillId="0" borderId="0"/>
    <xf numFmtId="0" fontId="4" fillId="0" borderId="0"/>
    <xf numFmtId="0" fontId="196" fillId="0" borderId="0"/>
    <xf numFmtId="0" fontId="195" fillId="0" borderId="0"/>
    <xf numFmtId="0" fontId="42" fillId="0" borderId="0"/>
    <xf numFmtId="0" fontId="42"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97" fillId="0" borderId="0"/>
    <xf numFmtId="0" fontId="297" fillId="0" borderId="0"/>
    <xf numFmtId="0" fontId="48" fillId="0" borderId="0"/>
    <xf numFmtId="0" fontId="297" fillId="0" borderId="0"/>
    <xf numFmtId="0" fontId="4" fillId="0" borderId="0"/>
    <xf numFmtId="0" fontId="4" fillId="0" borderId="0"/>
    <xf numFmtId="0" fontId="105" fillId="0" borderId="0"/>
    <xf numFmtId="0" fontId="4"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38" fillId="0" borderId="0"/>
    <xf numFmtId="0" fontId="297" fillId="0" borderId="0"/>
    <xf numFmtId="0" fontId="38" fillId="0" borderId="0"/>
    <xf numFmtId="0" fontId="105" fillId="0" borderId="0"/>
    <xf numFmtId="0" fontId="38" fillId="0" borderId="0"/>
    <xf numFmtId="0" fontId="38" fillId="0" borderId="0"/>
    <xf numFmtId="0" fontId="297" fillId="0" borderId="0"/>
    <xf numFmtId="0" fontId="297" fillId="0" borderId="0"/>
    <xf numFmtId="0" fontId="297" fillId="0" borderId="0"/>
    <xf numFmtId="0" fontId="297" fillId="0" borderId="0"/>
    <xf numFmtId="0" fontId="297" fillId="0" borderId="0"/>
    <xf numFmtId="0" fontId="38" fillId="0" borderId="0"/>
    <xf numFmtId="0" fontId="297" fillId="0" borderId="0"/>
    <xf numFmtId="0" fontId="297" fillId="0" borderId="0"/>
    <xf numFmtId="0" fontId="297" fillId="0" borderId="0"/>
    <xf numFmtId="0" fontId="66" fillId="0" borderId="0"/>
    <xf numFmtId="0" fontId="32" fillId="0" borderId="0"/>
    <xf numFmtId="0" fontId="49" fillId="0" borderId="0" applyNumberFormat="0" applyFill="0" applyBorder="0" applyProtection="0">
      <alignment vertical="top"/>
    </xf>
    <xf numFmtId="0" fontId="297" fillId="0" borderId="0"/>
    <xf numFmtId="0" fontId="297" fillId="0" borderId="0"/>
    <xf numFmtId="0" fontId="297" fillId="0" borderId="0"/>
    <xf numFmtId="0" fontId="297" fillId="0" borderId="0"/>
    <xf numFmtId="0" fontId="297" fillId="0" borderId="0"/>
    <xf numFmtId="0" fontId="297" fillId="0" borderId="0"/>
    <xf numFmtId="0" fontId="4" fillId="0" borderId="0"/>
    <xf numFmtId="0" fontId="4" fillId="0" borderId="0"/>
    <xf numFmtId="0" fontId="4" fillId="0" borderId="0"/>
    <xf numFmtId="0" fontId="4" fillId="0" borderId="0"/>
    <xf numFmtId="0" fontId="48" fillId="0" borderId="0"/>
    <xf numFmtId="0" fontId="277" fillId="0" borderId="0"/>
    <xf numFmtId="0" fontId="42" fillId="0" borderId="0"/>
    <xf numFmtId="0" fontId="48"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00" fillId="0" borderId="0"/>
    <xf numFmtId="0" fontId="200" fillId="0" borderId="0"/>
    <xf numFmtId="0" fontId="200" fillId="0" borderId="0"/>
    <xf numFmtId="0" fontId="4" fillId="0" borderId="0"/>
    <xf numFmtId="0" fontId="42" fillId="0" borderId="0"/>
    <xf numFmtId="0" fontId="42" fillId="0" borderId="0"/>
    <xf numFmtId="0" fontId="42" fillId="0" borderId="0"/>
    <xf numFmtId="0" fontId="4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5" fillId="0" borderId="0"/>
    <xf numFmtId="0" fontId="4" fillId="0" borderId="0"/>
    <xf numFmtId="0" fontId="4" fillId="0" borderId="0"/>
    <xf numFmtId="0" fontId="306" fillId="0" borderId="0"/>
    <xf numFmtId="41" fontId="10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195"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05" fillId="0" borderId="0" applyFont="0" applyFill="0" applyBorder="0" applyAlignment="0" applyProtection="0"/>
    <xf numFmtId="41" fontId="73" fillId="0" borderId="0" applyFont="0" applyFill="0" applyBorder="0" applyAlignment="0" applyProtection="0"/>
    <xf numFmtId="0" fontId="84" fillId="0" borderId="0"/>
    <xf numFmtId="0" fontId="84" fillId="0" borderId="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4" fontId="300" fillId="0" borderId="0"/>
    <xf numFmtId="0" fontId="4" fillId="0" borderId="19" applyNumberFormat="0" applyFont="0" applyFill="0" applyAlignment="0" applyProtection="0"/>
  </cellStyleXfs>
  <cellXfs count="955">
    <xf numFmtId="0" fontId="0" fillId="0" borderId="0" xfId="0"/>
    <xf numFmtId="0" fontId="7" fillId="0" borderId="0" xfId="0" applyFont="1" applyAlignment="1">
      <alignment vertical="center" wrapText="1"/>
    </xf>
    <xf numFmtId="0" fontId="8" fillId="0" borderId="0" xfId="0" applyFont="1" applyAlignment="1">
      <alignment vertical="center" wrapText="1" readingOrder="1"/>
    </xf>
    <xf numFmtId="1" fontId="9" fillId="0" borderId="0" xfId="1" applyNumberFormat="1" applyFont="1" applyFill="1" applyAlignment="1">
      <alignment horizontal="right" vertical="center"/>
    </xf>
    <xf numFmtId="0" fontId="10" fillId="0" borderId="0" xfId="0" applyFont="1" applyAlignment="1">
      <alignment vertical="center" wrapText="1" readingOrder="1"/>
    </xf>
    <xf numFmtId="0" fontId="11"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1" fontId="9" fillId="0" borderId="0" xfId="1" applyNumberFormat="1" applyFont="1" applyFill="1" applyAlignment="1">
      <alignment vertical="center"/>
    </xf>
    <xf numFmtId="1" fontId="16" fillId="0" borderId="0" xfId="1" applyNumberFormat="1" applyFont="1" applyFill="1" applyAlignment="1">
      <alignment vertical="center"/>
    </xf>
    <xf numFmtId="1" fontId="19" fillId="0" borderId="0" xfId="1" applyNumberFormat="1" applyFont="1" applyFill="1" applyAlignment="1">
      <alignment vertical="center"/>
    </xf>
    <xf numFmtId="3" fontId="9" fillId="0" borderId="0" xfId="1" applyNumberFormat="1" applyFont="1" applyBorder="1" applyAlignment="1">
      <alignment horizontal="center" vertical="center" wrapText="1"/>
    </xf>
    <xf numFmtId="3" fontId="9" fillId="0" borderId="0" xfId="1" applyNumberFormat="1" applyFont="1" applyBorder="1" applyAlignment="1">
      <alignment horizontal="center" vertical="center" wrapText="1"/>
    </xf>
    <xf numFmtId="3" fontId="9" fillId="0" borderId="2" xfId="1" quotePrefix="1" applyNumberFormat="1" applyFont="1" applyFill="1" applyBorder="1" applyAlignment="1">
      <alignment horizontal="center" vertical="center" wrapText="1"/>
    </xf>
    <xf numFmtId="3" fontId="9" fillId="0" borderId="0" xfId="1" applyNumberFormat="1" applyFont="1" applyFill="1" applyBorder="1" applyAlignment="1">
      <alignment vertical="center" wrapText="1"/>
    </xf>
    <xf numFmtId="3" fontId="17" fillId="0" borderId="2" xfId="1" applyNumberFormat="1" applyFont="1" applyFill="1" applyBorder="1" applyAlignment="1">
      <alignment horizontal="center" vertical="center" wrapText="1"/>
    </xf>
    <xf numFmtId="49" fontId="17" fillId="0" borderId="2" xfId="1" applyNumberFormat="1" applyFont="1" applyFill="1" applyBorder="1" applyAlignment="1">
      <alignment horizontal="center" vertical="center"/>
    </xf>
    <xf numFmtId="1" fontId="17" fillId="0" borderId="2" xfId="1" applyNumberFormat="1" applyFont="1" applyFill="1" applyBorder="1" applyAlignment="1">
      <alignment horizontal="left" vertical="center" wrapText="1"/>
    </xf>
    <xf numFmtId="1"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right" vertical="center"/>
    </xf>
    <xf numFmtId="1" fontId="17" fillId="0" borderId="0" xfId="1" applyNumberFormat="1" applyFont="1" applyFill="1" applyAlignment="1">
      <alignment vertical="center"/>
    </xf>
    <xf numFmtId="1" fontId="17" fillId="0" borderId="2" xfId="1" applyNumberFormat="1" applyFont="1" applyFill="1" applyBorder="1" applyAlignment="1">
      <alignment vertical="center" wrapText="1"/>
    </xf>
    <xf numFmtId="49" fontId="15" fillId="0" borderId="2" xfId="1" applyNumberFormat="1" applyFont="1" applyFill="1" applyBorder="1" applyAlignment="1">
      <alignment horizontal="center" vertical="center"/>
    </xf>
    <xf numFmtId="1" fontId="15" fillId="0" borderId="2" xfId="1" applyNumberFormat="1" applyFont="1" applyFill="1" applyBorder="1" applyAlignment="1">
      <alignment vertical="center" wrapText="1"/>
    </xf>
    <xf numFmtId="49" fontId="9" fillId="0" borderId="2" xfId="1" applyNumberFormat="1" applyFont="1" applyFill="1" applyBorder="1" applyAlignment="1">
      <alignment horizontal="center" vertical="center"/>
    </xf>
    <xf numFmtId="1" fontId="9" fillId="0" borderId="2" xfId="1" applyNumberFormat="1" applyFont="1" applyFill="1" applyBorder="1" applyAlignment="1">
      <alignment vertical="center" wrapText="1"/>
    </xf>
    <xf numFmtId="1" fontId="9" fillId="0" borderId="2" xfId="1" quotePrefix="1" applyNumberFormat="1" applyFont="1" applyFill="1" applyBorder="1" applyAlignment="1">
      <alignment vertical="center" wrapText="1"/>
    </xf>
    <xf numFmtId="1" fontId="9" fillId="0" borderId="2" xfId="1" applyNumberFormat="1" applyFont="1" applyFill="1" applyBorder="1" applyAlignment="1">
      <alignment horizontal="center" vertical="center"/>
    </xf>
    <xf numFmtId="1" fontId="9" fillId="0" borderId="2" xfId="1" applyNumberFormat="1" applyFont="1" applyFill="1" applyBorder="1" applyAlignment="1">
      <alignment horizontal="center" vertical="center" wrapText="1"/>
    </xf>
    <xf numFmtId="1" fontId="9" fillId="0" borderId="2" xfId="1" applyNumberFormat="1" applyFont="1" applyFill="1" applyBorder="1" applyAlignment="1">
      <alignment horizontal="right" vertical="center"/>
    </xf>
    <xf numFmtId="1" fontId="9" fillId="0" borderId="0" xfId="1" applyNumberFormat="1" applyFont="1" applyFill="1" applyBorder="1" applyAlignment="1">
      <alignment horizontal="center" vertical="center"/>
    </xf>
    <xf numFmtId="1" fontId="9" fillId="0" borderId="0" xfId="1" applyNumberFormat="1" applyFont="1" applyFill="1" applyBorder="1" applyAlignment="1">
      <alignment vertical="center" wrapText="1"/>
    </xf>
    <xf numFmtId="1" fontId="9" fillId="0" borderId="0" xfId="1" applyNumberFormat="1" applyFont="1" applyFill="1" applyBorder="1" applyAlignment="1">
      <alignment horizontal="center" vertical="center" wrapText="1"/>
    </xf>
    <xf numFmtId="1" fontId="9" fillId="0" borderId="0" xfId="1" applyNumberFormat="1" applyFont="1" applyFill="1" applyBorder="1" applyAlignment="1">
      <alignment horizontal="right" vertical="center"/>
    </xf>
    <xf numFmtId="1" fontId="9" fillId="0" borderId="0" xfId="1" applyNumberFormat="1" applyFont="1" applyFill="1" applyAlignment="1">
      <alignment horizontal="center" vertical="center"/>
    </xf>
    <xf numFmtId="1" fontId="9" fillId="0" borderId="0" xfId="1" applyNumberFormat="1" applyFont="1" applyFill="1" applyAlignment="1">
      <alignment vertical="center" wrapText="1"/>
    </xf>
    <xf numFmtId="1" fontId="9" fillId="0" borderId="0" xfId="1" applyNumberFormat="1" applyFont="1" applyFill="1" applyAlignment="1">
      <alignment horizontal="left" vertical="center" wrapText="1"/>
    </xf>
    <xf numFmtId="0" fontId="21" fillId="0" borderId="0" xfId="0" applyFont="1" applyAlignment="1">
      <alignment vertical="center"/>
    </xf>
    <xf numFmtId="1" fontId="9" fillId="0" borderId="0" xfId="1" applyNumberFormat="1" applyFont="1" applyFill="1" applyAlignment="1">
      <alignment horizontal="center" vertical="center" wrapText="1"/>
    </xf>
    <xf numFmtId="3" fontId="9" fillId="0" borderId="2" xfId="1" applyNumberFormat="1" applyFont="1" applyFill="1" applyBorder="1" applyAlignment="1">
      <alignment horizontal="center" vertical="center" wrapText="1"/>
    </xf>
    <xf numFmtId="3" fontId="17" fillId="0" borderId="2" xfId="1" quotePrefix="1" applyNumberFormat="1" applyFont="1" applyFill="1" applyBorder="1" applyAlignment="1">
      <alignment horizontal="center" vertical="center" wrapText="1"/>
    </xf>
    <xf numFmtId="3" fontId="17" fillId="0" borderId="0" xfId="1" applyNumberFormat="1" applyFont="1" applyFill="1" applyBorder="1" applyAlignment="1">
      <alignment vertical="center" wrapText="1"/>
    </xf>
    <xf numFmtId="1" fontId="9" fillId="0" borderId="2" xfId="1" applyNumberFormat="1" applyFont="1" applyFill="1" applyBorder="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15" fillId="0" borderId="0" xfId="1" applyNumberFormat="1" applyFont="1" applyFill="1" applyAlignment="1">
      <alignment vertical="center"/>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26" fillId="0" borderId="0" xfId="1" applyNumberFormat="1" applyFont="1" applyFill="1" applyAlignment="1">
      <alignment vertical="center"/>
    </xf>
    <xf numFmtId="1" fontId="22" fillId="0" borderId="0" xfId="1" applyNumberFormat="1" applyFont="1" applyFill="1" applyAlignment="1">
      <alignment vertical="center"/>
    </xf>
    <xf numFmtId="0" fontId="8" fillId="0" borderId="0" xfId="0" applyFont="1" applyAlignment="1">
      <alignment vertical="center" readingOrder="1"/>
    </xf>
    <xf numFmtId="1" fontId="23" fillId="0" borderId="0" xfId="1" applyNumberFormat="1" applyFont="1" applyFill="1" applyAlignment="1">
      <alignment horizontal="right" vertical="center"/>
    </xf>
    <xf numFmtId="0" fontId="10" fillId="0" borderId="0" xfId="0" applyFont="1" applyAlignment="1">
      <alignment vertical="center" readingOrder="1"/>
    </xf>
    <xf numFmtId="1" fontId="9" fillId="0" borderId="0" xfId="1" applyNumberFormat="1" applyFont="1" applyFill="1" applyBorder="1" applyAlignment="1">
      <alignment vertical="center"/>
    </xf>
    <xf numFmtId="1" fontId="17" fillId="0" borderId="0" xfId="1" applyNumberFormat="1" applyFont="1" applyFill="1" applyBorder="1" applyAlignment="1">
      <alignment horizontal="right" vertical="center"/>
    </xf>
    <xf numFmtId="1" fontId="17"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6" fillId="0" borderId="0" xfId="1" applyNumberFormat="1" applyFont="1" applyFill="1" applyBorder="1" applyAlignment="1">
      <alignment horizontal="center" vertical="center"/>
    </xf>
    <xf numFmtId="0" fontId="16" fillId="0" borderId="0" xfId="1" applyNumberFormat="1" applyFont="1" applyFill="1" applyAlignment="1">
      <alignment vertical="center"/>
    </xf>
    <xf numFmtId="1" fontId="16" fillId="0" borderId="0"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7" fillId="0" borderId="0" xfId="0" applyFont="1" applyBorder="1" applyAlignment="1">
      <alignment horizontal="center" vertical="center" wrapText="1"/>
    </xf>
    <xf numFmtId="0" fontId="12" fillId="0" borderId="0" xfId="0" applyFont="1" applyBorder="1" applyAlignment="1">
      <alignment vertical="center" wrapText="1"/>
    </xf>
    <xf numFmtId="49" fontId="11" fillId="0" borderId="2" xfId="0" applyNumberFormat="1" applyFont="1" applyBorder="1" applyAlignment="1">
      <alignment horizontal="left" vertical="center" wrapText="1"/>
    </xf>
    <xf numFmtId="0" fontId="11" fillId="0" borderId="0" xfId="0" applyFont="1" applyBorder="1" applyAlignment="1">
      <alignment vertical="center" wrapText="1"/>
    </xf>
    <xf numFmtId="0" fontId="7" fillId="0" borderId="2" xfId="0" applyFont="1" applyBorder="1" applyAlignment="1">
      <alignment horizontal="left" vertical="center" wrapText="1"/>
    </xf>
    <xf numFmtId="0" fontId="12" fillId="0" borderId="0" xfId="0" applyFont="1" applyFill="1" applyAlignment="1">
      <alignment vertical="center" wrapText="1"/>
    </xf>
    <xf numFmtId="0" fontId="7" fillId="0" borderId="0" xfId="0" applyFont="1" applyAlignment="1">
      <alignment horizontal="left" vertical="center" wrapText="1"/>
    </xf>
    <xf numFmtId="1" fontId="32" fillId="0" borderId="0" xfId="1" applyNumberFormat="1" applyFont="1" applyFill="1" applyAlignment="1">
      <alignment horizontal="right" vertical="center"/>
    </xf>
    <xf numFmtId="1" fontId="32" fillId="0" borderId="0" xfId="1" applyNumberFormat="1" applyFont="1" applyFill="1" applyAlignment="1">
      <alignment vertical="center"/>
    </xf>
    <xf numFmtId="1" fontId="33" fillId="0" borderId="0" xfId="1" applyNumberFormat="1" applyFont="1" applyFill="1" applyAlignment="1">
      <alignment vertical="center"/>
    </xf>
    <xf numFmtId="1" fontId="5" fillId="0" borderId="0" xfId="1" applyNumberFormat="1" applyFont="1" applyFill="1" applyAlignment="1">
      <alignment vertical="center"/>
    </xf>
    <xf numFmtId="1" fontId="35" fillId="0" borderId="0" xfId="1" applyNumberFormat="1" applyFont="1" applyFill="1" applyAlignment="1">
      <alignment vertical="center"/>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vertical="center"/>
    </xf>
    <xf numFmtId="1" fontId="36" fillId="0" borderId="1" xfId="1" applyNumberFormat="1" applyFont="1" applyFill="1" applyBorder="1" applyAlignment="1">
      <alignment horizontal="right" vertical="center"/>
    </xf>
    <xf numFmtId="1" fontId="37" fillId="0" borderId="0" xfId="1" applyNumberFormat="1" applyFont="1" applyFill="1" applyAlignment="1">
      <alignment vertical="center"/>
    </xf>
    <xf numFmtId="1" fontId="39" fillId="0" borderId="0" xfId="1" applyNumberFormat="1" applyFont="1" applyFill="1" applyAlignment="1">
      <alignment horizontal="center" vertical="center"/>
    </xf>
    <xf numFmtId="3" fontId="40" fillId="0" borderId="0" xfId="1" applyNumberFormat="1" applyFont="1" applyBorder="1" applyAlignment="1">
      <alignment horizontal="center" vertical="center" wrapText="1"/>
    </xf>
    <xf numFmtId="3" fontId="26" fillId="0" borderId="2" xfId="1" applyNumberFormat="1" applyFont="1" applyFill="1" applyBorder="1" applyAlignment="1">
      <alignment horizontal="center" vertical="center" wrapText="1"/>
    </xf>
    <xf numFmtId="3" fontId="38" fillId="0" borderId="6" xfId="1" applyNumberFormat="1" applyFont="1" applyFill="1" applyBorder="1" applyAlignment="1">
      <alignment horizontal="center" vertical="center" wrapText="1"/>
    </xf>
    <xf numFmtId="3" fontId="26" fillId="0" borderId="2" xfId="1" applyNumberFormat="1" applyFont="1" applyFill="1" applyBorder="1" applyAlignment="1">
      <alignment vertical="center" wrapText="1"/>
    </xf>
    <xf numFmtId="3" fontId="38" fillId="0" borderId="2" xfId="1" applyNumberFormat="1" applyFont="1" applyBorder="1" applyAlignment="1">
      <alignment horizontal="center" vertical="center" wrapText="1"/>
    </xf>
    <xf numFmtId="3" fontId="26" fillId="0" borderId="2" xfId="1" applyNumberFormat="1" applyFont="1" applyBorder="1" applyAlignment="1">
      <alignment horizontal="center" vertical="center" wrapText="1"/>
    </xf>
    <xf numFmtId="3" fontId="38" fillId="0" borderId="2" xfId="1" quotePrefix="1" applyNumberFormat="1" applyFont="1" applyFill="1" applyBorder="1" applyAlignment="1">
      <alignment horizontal="center" vertical="center" wrapText="1"/>
    </xf>
    <xf numFmtId="3" fontId="40" fillId="0" borderId="0"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xf>
    <xf numFmtId="1" fontId="41"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right" vertical="center"/>
    </xf>
    <xf numFmtId="3" fontId="9" fillId="0" borderId="2" xfId="3" applyNumberFormat="1" applyFont="1" applyFill="1" applyBorder="1" applyAlignment="1">
      <alignment horizontal="center" vertical="center" wrapText="1"/>
    </xf>
    <xf numFmtId="1" fontId="41" fillId="0" borderId="2" xfId="1" applyNumberFormat="1" applyFont="1" applyFill="1" applyBorder="1" applyAlignment="1">
      <alignment horizontal="center" vertical="center"/>
    </xf>
    <xf numFmtId="1" fontId="41" fillId="0" borderId="2" xfId="1" applyNumberFormat="1" applyFont="1" applyFill="1" applyBorder="1" applyAlignment="1">
      <alignment vertical="center" wrapText="1"/>
    </xf>
    <xf numFmtId="1" fontId="41" fillId="0" borderId="2" xfId="1" applyNumberFormat="1" applyFont="1" applyFill="1" applyBorder="1" applyAlignment="1">
      <alignment horizontal="right" vertical="center"/>
    </xf>
    <xf numFmtId="1" fontId="43" fillId="0" borderId="0" xfId="1" applyNumberFormat="1" applyFont="1" applyFill="1" applyAlignment="1">
      <alignment vertical="center"/>
    </xf>
    <xf numFmtId="49" fontId="41" fillId="0" borderId="2" xfId="1" applyNumberFormat="1" applyFont="1" applyFill="1" applyBorder="1" applyAlignment="1">
      <alignment horizontal="center" vertical="center"/>
    </xf>
    <xf numFmtId="49" fontId="38" fillId="0" borderId="2" xfId="1" applyNumberFormat="1" applyFont="1" applyFill="1" applyBorder="1" applyAlignment="1">
      <alignment horizontal="center" vertical="center"/>
    </xf>
    <xf numFmtId="1" fontId="38" fillId="0" borderId="2" xfId="1" quotePrefix="1" applyNumberFormat="1" applyFont="1" applyFill="1" applyBorder="1" applyAlignment="1">
      <alignment vertical="center" wrapText="1"/>
    </xf>
    <xf numFmtId="1" fontId="38" fillId="0"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xf>
    <xf numFmtId="1" fontId="44" fillId="2"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wrapText="1"/>
    </xf>
    <xf numFmtId="1" fontId="44" fillId="2" borderId="2" xfId="1" applyNumberFormat="1" applyFont="1" applyFill="1" applyBorder="1" applyAlignment="1">
      <alignment horizontal="right" vertical="center"/>
    </xf>
    <xf numFmtId="1" fontId="45" fillId="2" borderId="0" xfId="1" applyNumberFormat="1" applyFont="1" applyFill="1" applyAlignment="1">
      <alignment vertical="center"/>
    </xf>
    <xf numFmtId="1" fontId="46" fillId="2" borderId="2" xfId="1" applyNumberFormat="1" applyFont="1" applyFill="1" applyBorder="1" applyAlignment="1">
      <alignment horizontal="center" vertical="center"/>
    </xf>
    <xf numFmtId="1" fontId="46" fillId="2" borderId="2" xfId="1" applyNumberFormat="1" applyFont="1" applyFill="1" applyBorder="1" applyAlignment="1">
      <alignment horizontal="center" vertical="center" wrapText="1"/>
    </xf>
    <xf numFmtId="1" fontId="46" fillId="2" borderId="2" xfId="1" applyNumberFormat="1" applyFont="1" applyFill="1" applyBorder="1" applyAlignment="1">
      <alignment horizontal="right" vertical="center"/>
    </xf>
    <xf numFmtId="1" fontId="47" fillId="2" borderId="0" xfId="1" applyNumberFormat="1" applyFont="1" applyFill="1" applyAlignment="1">
      <alignment vertical="center"/>
    </xf>
    <xf numFmtId="1" fontId="32" fillId="0" borderId="2" xfId="1" applyNumberFormat="1" applyFont="1" applyFill="1" applyBorder="1" applyAlignment="1">
      <alignment horizontal="right" vertical="center"/>
    </xf>
    <xf numFmtId="1" fontId="38" fillId="0" borderId="0" xfId="1" applyNumberFormat="1" applyFont="1" applyFill="1" applyAlignment="1">
      <alignment horizontal="center" vertical="center"/>
    </xf>
    <xf numFmtId="1" fontId="38" fillId="0" borderId="0" xfId="1" applyNumberFormat="1" applyFont="1" applyFill="1" applyAlignment="1">
      <alignment vertical="center" wrapText="1"/>
    </xf>
    <xf numFmtId="1" fontId="38" fillId="0" borderId="0" xfId="1" applyNumberFormat="1" applyFont="1" applyFill="1" applyAlignment="1">
      <alignment horizontal="center" vertical="center" wrapText="1"/>
    </xf>
    <xf numFmtId="1" fontId="38" fillId="0" borderId="0" xfId="1" applyNumberFormat="1" applyFont="1" applyFill="1" applyAlignment="1">
      <alignment horizontal="right" vertical="center"/>
    </xf>
    <xf numFmtId="1" fontId="32" fillId="0" borderId="0" xfId="1" applyNumberFormat="1" applyFont="1" applyFill="1" applyAlignment="1">
      <alignment horizontal="center" vertical="center"/>
    </xf>
    <xf numFmtId="1" fontId="32" fillId="0" borderId="0" xfId="1" applyNumberFormat="1" applyFont="1" applyFill="1" applyAlignment="1">
      <alignment vertical="center" wrapText="1"/>
    </xf>
    <xf numFmtId="1" fontId="32" fillId="0" borderId="0" xfId="1" applyNumberFormat="1" applyFont="1" applyFill="1" applyAlignment="1">
      <alignment horizontal="center" vertical="center" wrapText="1"/>
    </xf>
    <xf numFmtId="1" fontId="16" fillId="0" borderId="0" xfId="1" applyNumberFormat="1" applyFont="1" applyFill="1" applyAlignment="1"/>
    <xf numFmtId="3" fontId="9" fillId="0" borderId="4" xfId="1" applyNumberFormat="1" applyFont="1" applyFill="1" applyBorder="1" applyAlignment="1">
      <alignment vertical="center" wrapText="1"/>
    </xf>
    <xf numFmtId="3" fontId="9" fillId="0" borderId="5" xfId="1" applyNumberFormat="1" applyFont="1" applyFill="1" applyBorder="1" applyAlignment="1">
      <alignment vertical="center" wrapText="1"/>
    </xf>
    <xf numFmtId="1" fontId="19" fillId="0" borderId="0" xfId="1" applyNumberFormat="1" applyFont="1" applyFill="1" applyAlignment="1">
      <alignment horizontal="center" vertical="center"/>
    </xf>
    <xf numFmtId="49" fontId="9" fillId="0" borderId="0" xfId="1" applyNumberFormat="1" applyFont="1" applyFill="1" applyBorder="1" applyAlignment="1">
      <alignment horizontal="center" vertical="center"/>
    </xf>
    <xf numFmtId="1" fontId="9" fillId="0" borderId="0" xfId="1" quotePrefix="1" applyNumberFormat="1" applyFont="1" applyFill="1" applyBorder="1" applyAlignment="1">
      <alignment vertical="center" wrapText="1"/>
    </xf>
    <xf numFmtId="1" fontId="17" fillId="0" borderId="0" xfId="1" applyNumberFormat="1" applyFont="1" applyFill="1" applyBorder="1" applyAlignment="1">
      <alignment horizontal="center" vertical="center" wrapText="1"/>
    </xf>
    <xf numFmtId="49" fontId="9" fillId="0" borderId="0" xfId="1" applyNumberFormat="1" applyFont="1" applyFill="1" applyAlignment="1">
      <alignment vertical="center"/>
    </xf>
    <xf numFmtId="49" fontId="16" fillId="0" borderId="0" xfId="1" applyNumberFormat="1" applyFont="1" applyFill="1" applyBorder="1" applyAlignment="1">
      <alignment vertical="center"/>
    </xf>
    <xf numFmtId="49" fontId="9" fillId="0" borderId="0" xfId="1" applyNumberFormat="1" applyFont="1" applyFill="1" applyBorder="1" applyAlignment="1">
      <alignment vertical="center"/>
    </xf>
    <xf numFmtId="49" fontId="9" fillId="0" borderId="0" xfId="1" applyNumberFormat="1" applyFont="1" applyFill="1" applyAlignment="1">
      <alignment horizontal="center" vertical="center"/>
    </xf>
    <xf numFmtId="1" fontId="9" fillId="0" borderId="0" xfId="1" applyNumberFormat="1" applyFont="1" applyFill="1" applyAlignment="1">
      <alignment horizontal="left" vertical="center" wrapText="1"/>
    </xf>
    <xf numFmtId="0" fontId="51" fillId="0" borderId="0" xfId="20" applyFont="1" applyAlignment="1">
      <alignment vertical="center" wrapText="1" readingOrder="1"/>
    </xf>
    <xf numFmtId="0" fontId="51" fillId="0" borderId="0" xfId="20" applyFont="1" applyAlignment="1">
      <alignment vertical="center" readingOrder="1"/>
    </xf>
    <xf numFmtId="0" fontId="52" fillId="0" borderId="0" xfId="20" applyFont="1" applyAlignment="1">
      <alignment vertical="center" wrapText="1" readingOrder="1"/>
    </xf>
    <xf numFmtId="0" fontId="10" fillId="0" borderId="0" xfId="20" applyFont="1" applyAlignment="1">
      <alignment vertical="center" wrapText="1" readingOrder="1"/>
    </xf>
    <xf numFmtId="0" fontId="10" fillId="0" borderId="0" xfId="20" applyFont="1" applyAlignment="1">
      <alignment vertical="center" readingOrder="1"/>
    </xf>
    <xf numFmtId="0" fontId="54" fillId="0" borderId="0" xfId="20" applyFont="1" applyAlignment="1">
      <alignment vertical="center" wrapText="1" readingOrder="1"/>
    </xf>
    <xf numFmtId="0" fontId="10" fillId="0" borderId="0" xfId="20" applyFont="1" applyAlignment="1">
      <alignment horizontal="center" vertical="center" wrapText="1" readingOrder="1"/>
    </xf>
    <xf numFmtId="0" fontId="56" fillId="0" borderId="0" xfId="20" applyFont="1" applyAlignment="1">
      <alignment vertical="center" wrapText="1" readingOrder="1"/>
    </xf>
    <xf numFmtId="0" fontId="54" fillId="0" borderId="0" xfId="20" applyFont="1" applyAlignment="1">
      <alignment horizontal="left" vertical="center" wrapText="1" readingOrder="1"/>
    </xf>
    <xf numFmtId="0" fontId="54" fillId="0" borderId="2" xfId="20" applyFont="1" applyBorder="1" applyAlignment="1">
      <alignment horizontal="center" vertical="center" wrapText="1" readingOrder="1"/>
    </xf>
    <xf numFmtId="0" fontId="54" fillId="0" borderId="0" xfId="20" applyFont="1" applyAlignment="1">
      <alignment horizontal="center" vertical="center" wrapText="1" readingOrder="1"/>
    </xf>
    <xf numFmtId="0" fontId="54" fillId="0" borderId="2" xfId="20" applyFont="1" applyBorder="1" applyAlignment="1">
      <alignment vertical="center" wrapText="1" readingOrder="1"/>
    </xf>
    <xf numFmtId="0" fontId="52" fillId="0" borderId="2" xfId="20" applyFont="1" applyBorder="1" applyAlignment="1">
      <alignment horizontal="center" vertical="center" wrapText="1" readingOrder="1"/>
    </xf>
    <xf numFmtId="0" fontId="57" fillId="0" borderId="2" xfId="20" applyFont="1" applyBorder="1" applyAlignment="1">
      <alignment horizontal="right" vertical="center" wrapText="1" readingOrder="1"/>
    </xf>
    <xf numFmtId="0" fontId="52" fillId="0" borderId="2" xfId="20" applyFont="1" applyBorder="1" applyAlignment="1">
      <alignment horizontal="left" vertical="center" wrapText="1" readingOrder="1"/>
    </xf>
    <xf numFmtId="0" fontId="52" fillId="0" borderId="6" xfId="20" applyFont="1" applyBorder="1" applyAlignment="1">
      <alignment vertical="center" wrapText="1" readingOrder="1"/>
    </xf>
    <xf numFmtId="0" fontId="52" fillId="0" borderId="2" xfId="20" applyFont="1" applyBorder="1" applyAlignment="1">
      <alignment vertical="center" wrapText="1" readingOrder="1"/>
    </xf>
    <xf numFmtId="0" fontId="58" fillId="0" borderId="2" xfId="20" applyFont="1" applyBorder="1" applyAlignment="1">
      <alignment horizontal="center" vertical="center" wrapText="1" readingOrder="1"/>
    </xf>
    <xf numFmtId="0" fontId="58" fillId="0" borderId="2" xfId="20" applyFont="1" applyBorder="1" applyAlignment="1">
      <alignment vertical="center" wrapText="1" readingOrder="1"/>
    </xf>
    <xf numFmtId="0" fontId="59" fillId="0" borderId="2" xfId="20" applyFont="1" applyBorder="1" applyAlignment="1">
      <alignment horizontal="right" vertical="center" wrapText="1" readingOrder="1"/>
    </xf>
    <xf numFmtId="0" fontId="56" fillId="0" borderId="2" xfId="20" applyFont="1" applyBorder="1" applyAlignment="1">
      <alignment vertical="center" wrapText="1" readingOrder="1"/>
    </xf>
    <xf numFmtId="0" fontId="56" fillId="0" borderId="2" xfId="20" quotePrefix="1" applyFont="1" applyBorder="1" applyAlignment="1">
      <alignment horizontal="center" vertical="center" wrapText="1" readingOrder="1"/>
    </xf>
    <xf numFmtId="0" fontId="60" fillId="0" borderId="2" xfId="20" applyFont="1" applyBorder="1" applyAlignment="1">
      <alignment horizontal="right" vertical="center" wrapText="1" readingOrder="1"/>
    </xf>
    <xf numFmtId="0" fontId="54" fillId="0" borderId="3" xfId="20" quotePrefix="1" applyFont="1" applyBorder="1" applyAlignment="1">
      <alignment horizontal="center" vertical="center" wrapText="1" readingOrder="1"/>
    </xf>
    <xf numFmtId="0" fontId="54" fillId="0" borderId="2" xfId="20" applyFont="1" applyBorder="1" applyAlignment="1">
      <alignment vertical="center" wrapText="1"/>
    </xf>
    <xf numFmtId="0" fontId="54" fillId="0" borderId="5" xfId="20" applyFont="1" applyBorder="1" applyAlignment="1">
      <alignment vertical="center" wrapText="1" readingOrder="1"/>
    </xf>
    <xf numFmtId="0" fontId="61" fillId="0" borderId="2" xfId="20" applyFont="1" applyBorder="1" applyAlignment="1">
      <alignment horizontal="right" vertical="center" wrapText="1" readingOrder="1"/>
    </xf>
    <xf numFmtId="49" fontId="11" fillId="0" borderId="2" xfId="20" applyNumberFormat="1" applyFont="1" applyBorder="1" applyAlignment="1">
      <alignment vertical="center" wrapText="1"/>
    </xf>
    <xf numFmtId="0" fontId="58" fillId="0" borderId="2" xfId="20" quotePrefix="1" applyFont="1" applyBorder="1" applyAlignment="1">
      <alignment horizontal="center" vertical="center" wrapText="1" readingOrder="1"/>
    </xf>
    <xf numFmtId="49" fontId="58" fillId="0" borderId="2" xfId="21" applyNumberFormat="1" applyFont="1" applyFill="1" applyBorder="1" applyAlignment="1">
      <alignment horizontal="left" vertical="center" wrapText="1"/>
    </xf>
    <xf numFmtId="0" fontId="58" fillId="0" borderId="0" xfId="20" applyFont="1" applyAlignment="1">
      <alignment vertical="center" wrapText="1" readingOrder="1"/>
    </xf>
    <xf numFmtId="176" fontId="54" fillId="0" borderId="2" xfId="20" quotePrefix="1" applyNumberFormat="1" applyFont="1" applyBorder="1" applyAlignment="1">
      <alignment horizontal="center" vertical="center" wrapText="1" readingOrder="1"/>
    </xf>
    <xf numFmtId="0" fontId="54" fillId="0" borderId="2" xfId="20" quotePrefix="1" applyFont="1" applyBorder="1" applyAlignment="1">
      <alignment horizontal="center" vertical="center" wrapText="1" readingOrder="1"/>
    </xf>
    <xf numFmtId="49" fontId="54" fillId="0" borderId="2" xfId="21" applyNumberFormat="1" applyFont="1" applyFill="1" applyBorder="1" applyAlignment="1">
      <alignment horizontal="left" vertical="center" wrapText="1"/>
    </xf>
    <xf numFmtId="0" fontId="21" fillId="0" borderId="0" xfId="20" applyFont="1" applyAlignment="1">
      <alignment vertical="center" wrapText="1" readingOrder="1"/>
    </xf>
    <xf numFmtId="0" fontId="21" fillId="0" borderId="0" xfId="20" applyFont="1" applyAlignment="1">
      <alignment vertical="center"/>
    </xf>
    <xf numFmtId="0" fontId="3" fillId="0" borderId="0" xfId="20" applyAlignment="1">
      <alignment vertical="center"/>
    </xf>
    <xf numFmtId="49" fontId="54" fillId="0" borderId="0" xfId="20" applyNumberFormat="1" applyFont="1" applyAlignment="1">
      <alignment vertical="center" wrapText="1" readingOrder="1"/>
    </xf>
    <xf numFmtId="49" fontId="56" fillId="0" borderId="0" xfId="20" applyNumberFormat="1" applyFont="1" applyAlignment="1">
      <alignment vertical="center" wrapText="1" readingOrder="1"/>
    </xf>
    <xf numFmtId="49" fontId="51" fillId="0" borderId="2" xfId="20" applyNumberFormat="1" applyFont="1" applyBorder="1" applyAlignment="1">
      <alignment horizontal="center" vertical="center" wrapText="1"/>
    </xf>
    <xf numFmtId="0" fontId="51" fillId="0" borderId="2" xfId="20" applyFont="1" applyBorder="1" applyAlignment="1">
      <alignment horizontal="center" vertical="center" wrapText="1"/>
    </xf>
    <xf numFmtId="0" fontId="51" fillId="0" borderId="0" xfId="20" applyFont="1" applyAlignment="1">
      <alignment horizontal="center" vertical="center"/>
    </xf>
    <xf numFmtId="0" fontId="52" fillId="0" borderId="2" xfId="20" applyFont="1" applyBorder="1" applyAlignment="1">
      <alignment horizontal="center" vertical="center" wrapText="1"/>
    </xf>
    <xf numFmtId="0" fontId="62" fillId="0" borderId="2" xfId="20" applyFont="1" applyBorder="1" applyAlignment="1">
      <alignment horizontal="right" vertical="center" wrapText="1"/>
    </xf>
    <xf numFmtId="0" fontId="3" fillId="0" borderId="2" xfId="20" applyBorder="1" applyAlignment="1">
      <alignment vertical="center"/>
    </xf>
    <xf numFmtId="0" fontId="63" fillId="0" borderId="2" xfId="20" applyFont="1" applyBorder="1" applyAlignment="1">
      <alignment horizontal="right" vertical="center" wrapText="1"/>
    </xf>
    <xf numFmtId="0" fontId="3" fillId="0" borderId="2" xfId="20" applyFont="1" applyBorder="1" applyAlignment="1">
      <alignment vertical="center"/>
    </xf>
    <xf numFmtId="0" fontId="3" fillId="0" borderId="0" xfId="20" applyFont="1" applyAlignment="1">
      <alignment vertical="center"/>
    </xf>
    <xf numFmtId="49" fontId="52" fillId="0" borderId="2" xfId="20" applyNumberFormat="1" applyFont="1" applyBorder="1" applyAlignment="1">
      <alignment horizontal="center" vertical="center" wrapText="1" readingOrder="1"/>
    </xf>
    <xf numFmtId="0" fontId="64" fillId="0" borderId="2" xfId="20" applyFont="1" applyBorder="1" applyAlignment="1">
      <alignment vertical="center"/>
    </xf>
    <xf numFmtId="49" fontId="3" fillId="0" borderId="0" xfId="20" applyNumberFormat="1" applyAlignment="1">
      <alignment vertical="center"/>
    </xf>
    <xf numFmtId="1" fontId="5" fillId="0" borderId="0" xfId="1" applyNumberFormat="1" applyFont="1" applyFill="1" applyAlignment="1">
      <alignment vertical="center" wrapText="1"/>
    </xf>
    <xf numFmtId="1" fontId="36" fillId="0" borderId="0" xfId="1" applyNumberFormat="1" applyFont="1" applyFill="1" applyAlignment="1">
      <alignment vertical="center" wrapText="1"/>
    </xf>
    <xf numFmtId="0" fontId="14" fillId="0" borderId="2" xfId="10" applyFont="1" applyBorder="1" applyAlignment="1">
      <alignment horizontal="center" vertical="center" wrapText="1"/>
    </xf>
    <xf numFmtId="3" fontId="9" fillId="0" borderId="2" xfId="1" applyNumberFormat="1" applyFont="1" applyFill="1" applyBorder="1" applyAlignment="1">
      <alignment vertical="center" wrapText="1"/>
    </xf>
    <xf numFmtId="0" fontId="9" fillId="0" borderId="2" xfId="1" applyNumberFormat="1" applyFont="1" applyFill="1" applyBorder="1" applyAlignment="1">
      <alignment horizontal="center" vertical="center" wrapText="1"/>
    </xf>
    <xf numFmtId="1" fontId="17" fillId="0" borderId="2" xfId="1" applyNumberFormat="1" applyFont="1" applyFill="1" applyBorder="1" applyAlignment="1">
      <alignment vertical="center"/>
    </xf>
    <xf numFmtId="1" fontId="17" fillId="0" borderId="0" xfId="1" applyNumberFormat="1" applyFont="1" applyFill="1" applyBorder="1" applyAlignment="1">
      <alignment horizontal="center" vertical="center"/>
    </xf>
    <xf numFmtId="49" fontId="9" fillId="0" borderId="0" xfId="1" applyNumberFormat="1" applyFont="1" applyFill="1" applyBorder="1" applyAlignment="1">
      <alignment horizontal="left" vertical="center"/>
    </xf>
    <xf numFmtId="49" fontId="9" fillId="0" borderId="0" xfId="1" applyNumberFormat="1" applyFont="1" applyFill="1" applyBorder="1" applyAlignment="1">
      <alignment horizontal="right" vertical="center"/>
    </xf>
    <xf numFmtId="49" fontId="9" fillId="0" borderId="0" xfId="1" applyNumberFormat="1" applyFont="1" applyFill="1" applyAlignment="1">
      <alignment horizontal="right" vertical="center"/>
    </xf>
    <xf numFmtId="1" fontId="273" fillId="0" borderId="0" xfId="1" applyNumberFormat="1" applyFont="1" applyFill="1" applyAlignment="1">
      <alignment horizontal="center" vertical="center"/>
    </xf>
    <xf numFmtId="1" fontId="273" fillId="0" borderId="0" xfId="1" applyNumberFormat="1" applyFont="1" applyFill="1" applyAlignment="1">
      <alignment horizontal="right" vertical="center"/>
    </xf>
    <xf numFmtId="1" fontId="273" fillId="0" borderId="0" xfId="1" applyNumberFormat="1" applyFont="1" applyFill="1" applyAlignment="1">
      <alignment vertical="center"/>
    </xf>
    <xf numFmtId="3" fontId="274" fillId="0" borderId="1" xfId="1" applyNumberFormat="1" applyFont="1" applyFill="1" applyBorder="1" applyAlignment="1">
      <alignment horizontal="right" vertical="center" wrapText="1"/>
    </xf>
    <xf numFmtId="1" fontId="274" fillId="0" borderId="1" xfId="1" applyNumberFormat="1" applyFont="1" applyFill="1" applyBorder="1" applyAlignment="1">
      <alignment vertical="center" wrapText="1"/>
    </xf>
    <xf numFmtId="1" fontId="273" fillId="0" borderId="0" xfId="1" applyNumberFormat="1" applyFont="1" applyFill="1" applyAlignment="1">
      <alignment vertical="center" wrapText="1"/>
    </xf>
    <xf numFmtId="1" fontId="273" fillId="0" borderId="0" xfId="1" applyNumberFormat="1" applyFont="1" applyFill="1" applyAlignment="1">
      <alignment horizontal="center" vertical="center" wrapText="1"/>
    </xf>
    <xf numFmtId="1" fontId="274" fillId="0" borderId="1" xfId="1" applyNumberFormat="1" applyFont="1" applyFill="1" applyBorder="1" applyAlignment="1">
      <alignment vertical="center"/>
    </xf>
    <xf numFmtId="1" fontId="274" fillId="0" borderId="1" xfId="1" applyNumberFormat="1" applyFont="1" applyFill="1" applyBorder="1" applyAlignment="1">
      <alignment horizontal="right" vertical="center"/>
    </xf>
    <xf numFmtId="3" fontId="274" fillId="0" borderId="0" xfId="1" applyNumberFormat="1" applyFont="1" applyFill="1" applyBorder="1" applyAlignment="1">
      <alignment vertical="center" wrapText="1"/>
    </xf>
    <xf numFmtId="3" fontId="274" fillId="0" borderId="1" xfId="1" applyNumberFormat="1" applyFont="1" applyFill="1" applyBorder="1" applyAlignment="1">
      <alignment vertical="center" wrapText="1"/>
    </xf>
    <xf numFmtId="3" fontId="274" fillId="0" borderId="0" xfId="1" applyNumberFormat="1" applyFont="1" applyFill="1" applyBorder="1" applyAlignment="1">
      <alignment horizontal="center" vertical="center" wrapText="1"/>
    </xf>
    <xf numFmtId="3" fontId="274" fillId="0" borderId="0" xfId="1" applyNumberFormat="1" applyFont="1" applyFill="1" applyBorder="1" applyAlignment="1">
      <alignment horizontal="right" vertical="center" wrapText="1"/>
    </xf>
    <xf numFmtId="1" fontId="274" fillId="0" borderId="0" xfId="1" applyNumberFormat="1" applyFont="1" applyFill="1" applyBorder="1" applyAlignment="1">
      <alignment vertical="center" wrapText="1"/>
    </xf>
    <xf numFmtId="1" fontId="133" fillId="0" borderId="0" xfId="1" applyNumberFormat="1" applyFont="1" applyFill="1" applyAlignment="1">
      <alignment vertical="center"/>
    </xf>
    <xf numFmtId="1" fontId="133" fillId="0" borderId="0" xfId="1" applyNumberFormat="1" applyFont="1" applyFill="1" applyAlignment="1">
      <alignment horizontal="center" vertical="center" wrapText="1"/>
    </xf>
    <xf numFmtId="1" fontId="275" fillId="0" borderId="1" xfId="1" applyNumberFormat="1" applyFont="1" applyFill="1" applyBorder="1" applyAlignment="1">
      <alignment horizontal="center" vertical="center" wrapText="1"/>
    </xf>
    <xf numFmtId="0" fontId="41" fillId="0" borderId="0" xfId="4276" applyFont="1" applyFill="1" applyAlignment="1">
      <alignment vertical="center"/>
    </xf>
    <xf numFmtId="338" fontId="41" fillId="0" borderId="0" xfId="4276" applyNumberFormat="1" applyFont="1" applyFill="1" applyAlignment="1">
      <alignment vertical="center"/>
    </xf>
    <xf numFmtId="0" fontId="41" fillId="0" borderId="2" xfId="4276" applyFont="1" applyFill="1" applyBorder="1" applyAlignment="1">
      <alignment horizontal="center" vertical="center"/>
    </xf>
    <xf numFmtId="0" fontId="41" fillId="0" borderId="2" xfId="4276" applyFont="1" applyFill="1" applyBorder="1" applyAlignment="1">
      <alignment vertical="center"/>
    </xf>
    <xf numFmtId="0" fontId="279" fillId="0" borderId="2" xfId="4276" applyFont="1" applyFill="1" applyBorder="1" applyAlignment="1">
      <alignment horizontal="center" vertical="center"/>
    </xf>
    <xf numFmtId="4" fontId="41" fillId="0" borderId="2" xfId="4276" applyNumberFormat="1" applyFont="1" applyFill="1" applyBorder="1" applyAlignment="1">
      <alignment horizontal="center" vertical="center"/>
    </xf>
    <xf numFmtId="4" fontId="41" fillId="0" borderId="2" xfId="4276" applyNumberFormat="1" applyFont="1" applyFill="1" applyBorder="1" applyAlignment="1">
      <alignment vertical="center"/>
    </xf>
    <xf numFmtId="4" fontId="279" fillId="0" borderId="0" xfId="4276" applyNumberFormat="1" applyFont="1" applyFill="1" applyAlignment="1">
      <alignment vertical="center"/>
    </xf>
    <xf numFmtId="0" fontId="279" fillId="0" borderId="0" xfId="4276" applyFont="1" applyFill="1" applyAlignment="1">
      <alignment vertical="center"/>
    </xf>
    <xf numFmtId="2" fontId="279" fillId="0" borderId="0" xfId="4276" applyNumberFormat="1" applyFont="1" applyFill="1" applyAlignment="1">
      <alignment vertical="center"/>
    </xf>
    <xf numFmtId="0" fontId="41" fillId="0" borderId="2" xfId="4276" applyFont="1" applyFill="1" applyBorder="1" applyAlignment="1">
      <alignment horizontal="left" vertical="center"/>
    </xf>
    <xf numFmtId="0" fontId="38" fillId="0" borderId="2" xfId="4276" applyFont="1" applyFill="1" applyBorder="1" applyAlignment="1">
      <alignment horizontal="center" vertical="center"/>
    </xf>
    <xf numFmtId="339" fontId="41" fillId="0" borderId="2" xfId="4276" applyNumberFormat="1" applyFont="1" applyFill="1" applyBorder="1" applyAlignment="1">
      <alignment vertical="center"/>
    </xf>
    <xf numFmtId="3" fontId="41" fillId="0" borderId="0" xfId="4276" applyNumberFormat="1" applyFont="1" applyFill="1" applyAlignment="1">
      <alignment vertical="center"/>
    </xf>
    <xf numFmtId="1" fontId="41" fillId="0" borderId="0" xfId="4276" applyNumberFormat="1" applyFont="1" applyFill="1" applyAlignment="1">
      <alignment vertical="center"/>
    </xf>
    <xf numFmtId="0" fontId="280" fillId="0" borderId="0" xfId="4276" applyFont="1" applyFill="1" applyAlignment="1">
      <alignment vertical="center"/>
    </xf>
    <xf numFmtId="0" fontId="276" fillId="0" borderId="2" xfId="4276" applyFont="1" applyFill="1" applyBorder="1" applyAlignment="1">
      <alignment horizontal="center" vertical="center"/>
    </xf>
    <xf numFmtId="0" fontId="276" fillId="0" borderId="2" xfId="4276" applyFont="1" applyFill="1" applyBorder="1" applyAlignment="1">
      <alignment vertical="center"/>
    </xf>
    <xf numFmtId="3" fontId="276" fillId="0" borderId="2" xfId="4276" applyNumberFormat="1" applyFont="1" applyFill="1" applyBorder="1" applyAlignment="1">
      <alignment horizontal="center" vertical="center"/>
    </xf>
    <xf numFmtId="3" fontId="276" fillId="0" borderId="2" xfId="4276" applyNumberFormat="1" applyFont="1" applyFill="1" applyBorder="1" applyAlignment="1">
      <alignment vertical="center"/>
    </xf>
    <xf numFmtId="3" fontId="276" fillId="0" borderId="0" xfId="4276" applyNumberFormat="1" applyFont="1" applyFill="1" applyAlignment="1">
      <alignment vertical="center"/>
    </xf>
    <xf numFmtId="0" fontId="276" fillId="0" borderId="0" xfId="4276" applyFont="1" applyFill="1" applyAlignment="1">
      <alignment vertical="center"/>
    </xf>
    <xf numFmtId="1" fontId="276" fillId="0" borderId="0" xfId="4276" applyNumberFormat="1" applyFont="1" applyFill="1" applyAlignment="1">
      <alignment vertical="center"/>
    </xf>
    <xf numFmtId="0" fontId="281" fillId="0" borderId="0" xfId="4276" applyFont="1" applyFill="1" applyAlignment="1">
      <alignment vertical="center"/>
    </xf>
    <xf numFmtId="0" fontId="46" fillId="0" borderId="2" xfId="4276" applyFont="1" applyFill="1" applyBorder="1" applyAlignment="1">
      <alignment vertical="center"/>
    </xf>
    <xf numFmtId="3" fontId="38" fillId="0" borderId="2" xfId="4276" applyNumberFormat="1" applyFont="1" applyFill="1" applyBorder="1" applyAlignment="1">
      <alignment horizontal="center" vertical="center"/>
    </xf>
    <xf numFmtId="4" fontId="38" fillId="0" borderId="2" xfId="4276" applyNumberFormat="1" applyFont="1" applyFill="1" applyBorder="1" applyAlignment="1">
      <alignment vertical="center"/>
    </xf>
    <xf numFmtId="3" fontId="38" fillId="0" borderId="2" xfId="4276" applyNumberFormat="1" applyFont="1" applyFill="1" applyBorder="1" applyAlignment="1">
      <alignment vertical="center"/>
    </xf>
    <xf numFmtId="3" fontId="38" fillId="0" borderId="0" xfId="4276" applyNumberFormat="1" applyFont="1" applyFill="1" applyAlignment="1">
      <alignment vertical="center"/>
    </xf>
    <xf numFmtId="0" fontId="38" fillId="0" borderId="0" xfId="4276" applyFont="1" applyFill="1" applyAlignment="1">
      <alignment vertical="center"/>
    </xf>
    <xf numFmtId="1" fontId="38" fillId="0" borderId="0" xfId="4276" applyNumberFormat="1" applyFont="1" applyFill="1" applyAlignment="1">
      <alignment vertical="center"/>
    </xf>
    <xf numFmtId="0" fontId="282" fillId="0" borderId="0" xfId="4276" applyFont="1" applyFill="1" applyAlignment="1">
      <alignment vertical="center"/>
    </xf>
    <xf numFmtId="0" fontId="38" fillId="0" borderId="2" xfId="4276" applyFont="1" applyFill="1" applyBorder="1" applyAlignment="1">
      <alignment vertical="center"/>
    </xf>
    <xf numFmtId="4" fontId="38" fillId="0" borderId="2" xfId="4276" applyNumberFormat="1" applyFont="1" applyFill="1" applyBorder="1" applyAlignment="1">
      <alignment horizontal="center" vertical="center"/>
    </xf>
    <xf numFmtId="235" fontId="38" fillId="0" borderId="2" xfId="1618" applyNumberFormat="1" applyFont="1" applyFill="1" applyBorder="1" applyAlignment="1">
      <alignment vertical="center"/>
    </xf>
    <xf numFmtId="0" fontId="283" fillId="0" borderId="0" xfId="4276" applyFont="1" applyFill="1" applyAlignment="1">
      <alignment vertical="center"/>
    </xf>
    <xf numFmtId="0" fontId="284" fillId="0" borderId="0" xfId="4276" applyFont="1" applyFill="1" applyAlignment="1">
      <alignment vertical="center"/>
    </xf>
    <xf numFmtId="4" fontId="38" fillId="0" borderId="0" xfId="4276" applyNumberFormat="1" applyFont="1" applyFill="1" applyAlignment="1">
      <alignment vertical="center"/>
    </xf>
    <xf numFmtId="0" fontId="26" fillId="0" borderId="2" xfId="4276" applyFont="1" applyFill="1" applyBorder="1" applyAlignment="1">
      <alignment horizontal="center" vertical="center"/>
    </xf>
    <xf numFmtId="0" fontId="26" fillId="0" borderId="2" xfId="4276" applyFont="1" applyFill="1" applyBorder="1" applyAlignment="1">
      <alignment vertical="center"/>
    </xf>
    <xf numFmtId="3" fontId="26" fillId="0" borderId="2" xfId="4276" applyNumberFormat="1" applyFont="1" applyFill="1" applyBorder="1" applyAlignment="1">
      <alignment horizontal="center" vertical="center"/>
    </xf>
    <xf numFmtId="340" fontId="26" fillId="0" borderId="2" xfId="4276" applyNumberFormat="1" applyFont="1" applyFill="1" applyBorder="1" applyAlignment="1">
      <alignment vertical="center"/>
    </xf>
    <xf numFmtId="3" fontId="26" fillId="0" borderId="0" xfId="4276" applyNumberFormat="1" applyFont="1" applyFill="1" applyAlignment="1">
      <alignment vertical="center"/>
    </xf>
    <xf numFmtId="0" fontId="26" fillId="0" borderId="0" xfId="4276" applyFont="1" applyFill="1" applyAlignment="1">
      <alignment vertical="center"/>
    </xf>
    <xf numFmtId="1" fontId="26" fillId="0" borderId="0" xfId="4276" applyNumberFormat="1" applyFont="1" applyFill="1" applyAlignment="1">
      <alignment vertical="center"/>
    </xf>
    <xf numFmtId="0" fontId="285" fillId="0" borderId="0" xfId="4276" applyFont="1" applyFill="1" applyAlignment="1">
      <alignment vertical="center"/>
    </xf>
    <xf numFmtId="169" fontId="38" fillId="0" borderId="2" xfId="4276" applyNumberFormat="1" applyFont="1" applyFill="1" applyBorder="1" applyAlignment="1">
      <alignment vertical="center"/>
    </xf>
    <xf numFmtId="0" fontId="286" fillId="0" borderId="0" xfId="4276" applyFont="1" applyFill="1" applyAlignment="1">
      <alignment vertical="center"/>
    </xf>
    <xf numFmtId="3" fontId="41" fillId="0" borderId="2" xfId="4276" applyNumberFormat="1" applyFont="1" applyFill="1" applyBorder="1" applyAlignment="1">
      <alignment vertical="center"/>
    </xf>
    <xf numFmtId="0" fontId="287" fillId="0" borderId="0" xfId="4276" applyFont="1" applyFill="1" applyAlignment="1">
      <alignment vertical="center"/>
    </xf>
    <xf numFmtId="4" fontId="276" fillId="0" borderId="2" xfId="11" applyNumberFormat="1" applyFont="1" applyFill="1" applyBorder="1" applyAlignment="1">
      <alignment horizontal="center" vertical="center"/>
    </xf>
    <xf numFmtId="339" fontId="276" fillId="0" borderId="2" xfId="4276" applyNumberFormat="1" applyFont="1" applyFill="1" applyBorder="1" applyAlignment="1">
      <alignment vertical="center"/>
    </xf>
    <xf numFmtId="340" fontId="276" fillId="0" borderId="2" xfId="4276" applyNumberFormat="1" applyFont="1" applyFill="1" applyBorder="1" applyAlignment="1">
      <alignment vertical="center"/>
    </xf>
    <xf numFmtId="340" fontId="38" fillId="0" borderId="2" xfId="4276" applyNumberFormat="1" applyFont="1" applyFill="1" applyBorder="1" applyAlignment="1">
      <alignment horizontal="center" vertical="center"/>
    </xf>
    <xf numFmtId="338" fontId="38" fillId="0" borderId="0" xfId="4276" applyNumberFormat="1" applyFont="1" applyFill="1" applyAlignment="1">
      <alignment vertical="center"/>
    </xf>
    <xf numFmtId="0" fontId="276" fillId="0" borderId="2" xfId="11" applyFont="1" applyFill="1" applyBorder="1" applyAlignment="1">
      <alignment horizontal="center" vertical="center"/>
    </xf>
    <xf numFmtId="0" fontId="276" fillId="0" borderId="2" xfId="11" applyFont="1" applyFill="1" applyBorder="1" applyAlignment="1">
      <alignment vertical="center"/>
    </xf>
    <xf numFmtId="4" fontId="276" fillId="0" borderId="2" xfId="11" applyNumberFormat="1" applyFont="1" applyFill="1" applyBorder="1" applyAlignment="1">
      <alignment vertical="center"/>
    </xf>
    <xf numFmtId="1" fontId="41" fillId="0" borderId="0" xfId="11" applyNumberFormat="1" applyFont="1" applyFill="1" applyAlignment="1">
      <alignment vertical="center"/>
    </xf>
    <xf numFmtId="0" fontId="276" fillId="0" borderId="0" xfId="11" applyFont="1" applyFill="1" applyAlignment="1">
      <alignment vertical="center"/>
    </xf>
    <xf numFmtId="0" fontId="38" fillId="0" borderId="2" xfId="11" applyFont="1" applyFill="1" applyBorder="1" applyAlignment="1">
      <alignment horizontal="center" vertical="center"/>
    </xf>
    <xf numFmtId="0" fontId="38" fillId="0" borderId="2" xfId="11" applyFont="1" applyFill="1" applyBorder="1" applyAlignment="1">
      <alignment vertical="center" wrapText="1"/>
    </xf>
    <xf numFmtId="4" fontId="38" fillId="0" borderId="2" xfId="11" applyNumberFormat="1" applyFont="1" applyFill="1" applyBorder="1" applyAlignment="1">
      <alignment horizontal="center" vertical="center"/>
    </xf>
    <xf numFmtId="4" fontId="38" fillId="0" borderId="2" xfId="11" applyNumberFormat="1" applyFont="1" applyFill="1" applyBorder="1" applyAlignment="1">
      <alignment vertical="center"/>
    </xf>
    <xf numFmtId="3" fontId="26" fillId="0" borderId="0" xfId="11" quotePrefix="1" applyNumberFormat="1" applyFont="1" applyFill="1" applyAlignment="1">
      <alignment vertical="center"/>
    </xf>
    <xf numFmtId="0" fontId="38" fillId="0" borderId="0" xfId="11" applyFont="1" applyFill="1" applyAlignment="1">
      <alignment vertical="center"/>
    </xf>
    <xf numFmtId="1" fontId="38" fillId="0" borderId="0" xfId="11" applyNumberFormat="1" applyFont="1" applyFill="1" applyAlignment="1">
      <alignment vertical="center"/>
    </xf>
    <xf numFmtId="279" fontId="38" fillId="0" borderId="0" xfId="11" applyNumberFormat="1" applyFont="1" applyFill="1" applyAlignment="1">
      <alignment vertical="center"/>
    </xf>
    <xf numFmtId="0" fontId="38" fillId="0" borderId="2" xfId="11" applyFont="1" applyFill="1" applyBorder="1" applyAlignment="1">
      <alignment horizontal="center" vertical="center" wrapText="1"/>
    </xf>
    <xf numFmtId="3" fontId="38" fillId="0" borderId="2" xfId="11" applyNumberFormat="1" applyFont="1" applyFill="1" applyBorder="1" applyAlignment="1">
      <alignment vertical="center"/>
    </xf>
    <xf numFmtId="3" fontId="38" fillId="0" borderId="0" xfId="11" applyNumberFormat="1" applyFont="1" applyFill="1" applyAlignment="1">
      <alignment vertical="center"/>
    </xf>
    <xf numFmtId="0" fontId="38" fillId="0" borderId="2" xfId="11" applyFont="1" applyFill="1" applyBorder="1" applyAlignment="1">
      <alignment vertical="center"/>
    </xf>
    <xf numFmtId="2" fontId="38" fillId="0" borderId="2" xfId="11" applyNumberFormat="1" applyFont="1" applyFill="1" applyBorder="1" applyAlignment="1">
      <alignment horizontal="center" vertical="center"/>
    </xf>
    <xf numFmtId="4" fontId="276" fillId="0" borderId="2" xfId="4276" applyNumberFormat="1" applyFont="1" applyFill="1" applyBorder="1" applyAlignment="1">
      <alignment horizontal="center" vertical="center"/>
    </xf>
    <xf numFmtId="4" fontId="276" fillId="0" borderId="2" xfId="4276" applyNumberFormat="1" applyFont="1" applyFill="1" applyBorder="1" applyAlignment="1">
      <alignment vertical="center"/>
    </xf>
    <xf numFmtId="0" fontId="26" fillId="0" borderId="2" xfId="11" applyFont="1" applyFill="1" applyBorder="1" applyAlignment="1">
      <alignment vertical="center"/>
    </xf>
    <xf numFmtId="0" fontId="26" fillId="0" borderId="2" xfId="11" applyFont="1" applyFill="1" applyBorder="1" applyAlignment="1">
      <alignment horizontal="center" vertical="center"/>
    </xf>
    <xf numFmtId="4" fontId="26" fillId="0" borderId="2" xfId="11" applyNumberFormat="1" applyFont="1" applyFill="1" applyBorder="1" applyAlignment="1">
      <alignment horizontal="center" vertical="center"/>
    </xf>
    <xf numFmtId="4" fontId="26" fillId="0" borderId="2" xfId="11" applyNumberFormat="1" applyFont="1" applyFill="1" applyBorder="1" applyAlignment="1">
      <alignment vertical="center"/>
    </xf>
    <xf numFmtId="0" fontId="288" fillId="0" borderId="2" xfId="11" applyFont="1" applyFill="1" applyBorder="1" applyAlignment="1">
      <alignment vertical="center" wrapText="1"/>
    </xf>
    <xf numFmtId="4" fontId="26" fillId="0" borderId="2" xfId="11" applyNumberFormat="1" applyFont="1" applyFill="1" applyBorder="1" applyAlignment="1">
      <alignment horizontal="right" vertical="center"/>
    </xf>
    <xf numFmtId="4" fontId="26" fillId="0" borderId="2" xfId="4276" applyNumberFormat="1" applyFont="1" applyFill="1" applyBorder="1" applyAlignment="1">
      <alignment vertical="center"/>
    </xf>
    <xf numFmtId="2" fontId="41" fillId="0" borderId="0" xfId="4276" applyNumberFormat="1" applyFont="1" applyFill="1" applyAlignment="1">
      <alignment vertical="center"/>
    </xf>
    <xf numFmtId="0" fontId="38" fillId="0" borderId="2" xfId="4276" applyFont="1" applyFill="1" applyBorder="1" applyAlignment="1">
      <alignment vertical="center" wrapText="1"/>
    </xf>
    <xf numFmtId="0" fontId="46" fillId="0" borderId="2" xfId="4276" applyFont="1" applyFill="1" applyBorder="1" applyAlignment="1">
      <alignment horizontal="center" vertical="center"/>
    </xf>
    <xf numFmtId="339" fontId="38" fillId="0" borderId="2" xfId="4276" applyNumberFormat="1" applyFont="1" applyFill="1" applyBorder="1" applyAlignment="1">
      <alignment vertical="center"/>
    </xf>
    <xf numFmtId="0" fontId="276" fillId="0" borderId="2" xfId="4276" applyFont="1" applyFill="1" applyBorder="1" applyAlignment="1">
      <alignment vertical="center" wrapText="1"/>
    </xf>
    <xf numFmtId="338" fontId="276" fillId="0" borderId="0" xfId="4276" applyNumberFormat="1" applyFont="1" applyFill="1" applyAlignment="1">
      <alignment vertical="center"/>
    </xf>
    <xf numFmtId="0" fontId="41" fillId="0" borderId="2" xfId="4276" applyFont="1" applyFill="1" applyBorder="1" applyAlignment="1">
      <alignment vertical="center" wrapText="1"/>
    </xf>
    <xf numFmtId="3" fontId="41" fillId="0" borderId="2" xfId="4276" applyNumberFormat="1" applyFont="1" applyFill="1" applyBorder="1" applyAlignment="1">
      <alignment horizontal="center" vertical="center"/>
    </xf>
    <xf numFmtId="3" fontId="26" fillId="0" borderId="0" xfId="4276" applyNumberFormat="1" applyFont="1" applyFill="1" applyBorder="1" applyAlignment="1">
      <alignment vertical="center"/>
    </xf>
    <xf numFmtId="0" fontId="41" fillId="0" borderId="0" xfId="4276" applyFont="1" applyFill="1" applyBorder="1" applyAlignment="1">
      <alignment vertical="center"/>
    </xf>
    <xf numFmtId="1" fontId="41" fillId="0" borderId="0" xfId="4276" applyNumberFormat="1" applyFont="1" applyFill="1" applyBorder="1" applyAlignment="1">
      <alignment vertical="center"/>
    </xf>
    <xf numFmtId="0" fontId="287" fillId="0" borderId="0" xfId="4276" applyFont="1" applyFill="1" applyBorder="1" applyAlignment="1">
      <alignment vertical="center"/>
    </xf>
    <xf numFmtId="3" fontId="41" fillId="0" borderId="0" xfId="4276" applyNumberFormat="1" applyFont="1" applyFill="1" applyBorder="1" applyAlignment="1">
      <alignment vertical="center"/>
    </xf>
    <xf numFmtId="0" fontId="276" fillId="0" borderId="0" xfId="4276" applyFont="1" applyFill="1" applyBorder="1" applyAlignment="1">
      <alignment vertical="center"/>
    </xf>
    <xf numFmtId="1" fontId="276" fillId="0" borderId="0" xfId="4276" applyNumberFormat="1" applyFont="1" applyFill="1" applyBorder="1" applyAlignment="1">
      <alignment vertical="center"/>
    </xf>
    <xf numFmtId="0" fontId="283" fillId="0" borderId="0" xfId="4276" applyFont="1" applyFill="1" applyBorder="1" applyAlignment="1">
      <alignment vertical="center"/>
    </xf>
    <xf numFmtId="9" fontId="276" fillId="0" borderId="2" xfId="4276" applyNumberFormat="1" applyFont="1" applyFill="1" applyBorder="1" applyAlignment="1">
      <alignment horizontal="center" vertical="center"/>
    </xf>
    <xf numFmtId="0" fontId="276" fillId="0" borderId="2" xfId="4276" applyFont="1" applyFill="1" applyBorder="1" applyAlignment="1">
      <alignment horizontal="left" vertical="center" wrapText="1"/>
    </xf>
    <xf numFmtId="0" fontId="284" fillId="0" borderId="2" xfId="4276" applyFont="1" applyFill="1" applyBorder="1" applyAlignment="1">
      <alignment horizontal="left" vertical="center" wrapText="1"/>
    </xf>
    <xf numFmtId="3" fontId="38" fillId="0" borderId="0" xfId="4276" applyNumberFormat="1" applyFont="1" applyFill="1" applyBorder="1" applyAlignment="1">
      <alignment vertical="center"/>
    </xf>
    <xf numFmtId="0" fontId="38" fillId="0" borderId="0" xfId="4276" applyFont="1" applyFill="1" applyBorder="1" applyAlignment="1">
      <alignment vertical="center"/>
    </xf>
    <xf numFmtId="0" fontId="286" fillId="0" borderId="0" xfId="4276" applyFont="1" applyFill="1" applyBorder="1" applyAlignment="1">
      <alignment vertical="center"/>
    </xf>
    <xf numFmtId="339" fontId="26" fillId="0" borderId="2" xfId="4276" applyNumberFormat="1" applyFont="1" applyFill="1" applyBorder="1" applyAlignment="1">
      <alignment vertical="center"/>
    </xf>
    <xf numFmtId="0" fontId="26" fillId="0" borderId="0" xfId="4276" applyFont="1" applyFill="1" applyBorder="1" applyAlignment="1">
      <alignment vertical="center"/>
    </xf>
    <xf numFmtId="0" fontId="285" fillId="0" borderId="0" xfId="4276" applyFont="1" applyFill="1" applyBorder="1" applyAlignment="1">
      <alignment vertical="center"/>
    </xf>
    <xf numFmtId="3" fontId="38" fillId="0" borderId="2" xfId="4276" applyNumberFormat="1" applyFont="1" applyFill="1" applyBorder="1" applyAlignment="1">
      <alignment horizontal="right" vertical="center"/>
    </xf>
    <xf numFmtId="0" fontId="282" fillId="0" borderId="0" xfId="4276" applyFont="1" applyFill="1" applyBorder="1" applyAlignment="1">
      <alignment vertical="center"/>
    </xf>
    <xf numFmtId="0" fontId="288" fillId="0" borderId="2" xfId="4276" applyFont="1" applyFill="1" applyBorder="1" applyAlignment="1">
      <alignment horizontal="left" vertical="center"/>
    </xf>
    <xf numFmtId="3" fontId="26" fillId="0" borderId="2" xfId="4276" applyNumberFormat="1" applyFont="1" applyFill="1" applyBorder="1" applyAlignment="1">
      <alignment vertical="center"/>
    </xf>
    <xf numFmtId="3" fontId="276" fillId="0" borderId="0" xfId="4276" applyNumberFormat="1" applyFont="1" applyFill="1" applyBorder="1" applyAlignment="1">
      <alignment vertical="center"/>
    </xf>
    <xf numFmtId="0" fontId="38" fillId="0" borderId="0" xfId="4276" applyFont="1" applyFill="1" applyAlignment="1">
      <alignment horizontal="center" vertical="center"/>
    </xf>
    <xf numFmtId="0" fontId="289" fillId="0" borderId="0" xfId="4276" applyFont="1" applyFill="1" applyAlignment="1">
      <alignment vertical="center"/>
    </xf>
    <xf numFmtId="0" fontId="41" fillId="0" borderId="4" xfId="4276" applyFont="1" applyFill="1" applyBorder="1" applyAlignment="1">
      <alignment vertical="center" wrapText="1"/>
    </xf>
    <xf numFmtId="0" fontId="41" fillId="0" borderId="5" xfId="4276" applyFont="1" applyFill="1" applyBorder="1" applyAlignment="1">
      <alignment vertical="center" wrapText="1"/>
    </xf>
    <xf numFmtId="4" fontId="41" fillId="0" borderId="5" xfId="4276" applyNumberFormat="1" applyFont="1" applyFill="1" applyBorder="1" applyAlignment="1">
      <alignment vertical="center"/>
    </xf>
    <xf numFmtId="3" fontId="276" fillId="0" borderId="5" xfId="4276" applyNumberFormat="1" applyFont="1" applyFill="1" applyBorder="1" applyAlignment="1">
      <alignment vertical="center"/>
    </xf>
    <xf numFmtId="4" fontId="38" fillId="0" borderId="5" xfId="4276" applyNumberFormat="1" applyFont="1" applyFill="1" applyBorder="1" applyAlignment="1">
      <alignment vertical="center"/>
    </xf>
    <xf numFmtId="3" fontId="38" fillId="0" borderId="5" xfId="4276" applyNumberFormat="1" applyFont="1" applyFill="1" applyBorder="1" applyAlignment="1">
      <alignment vertical="center"/>
    </xf>
    <xf numFmtId="340" fontId="26" fillId="0" borderId="5" xfId="4276" applyNumberFormat="1" applyFont="1" applyFill="1" applyBorder="1" applyAlignment="1">
      <alignment vertical="center"/>
    </xf>
    <xf numFmtId="169" fontId="38" fillId="0" borderId="5" xfId="4276" applyNumberFormat="1" applyFont="1" applyFill="1" applyBorder="1" applyAlignment="1">
      <alignment vertical="center"/>
    </xf>
    <xf numFmtId="340" fontId="276" fillId="0" borderId="5" xfId="4276" applyNumberFormat="1" applyFont="1" applyFill="1" applyBorder="1" applyAlignment="1">
      <alignment vertical="center"/>
    </xf>
    <xf numFmtId="4" fontId="276" fillId="0" borderId="5" xfId="11" applyNumberFormat="1" applyFont="1" applyFill="1" applyBorder="1" applyAlignment="1">
      <alignment vertical="center"/>
    </xf>
    <xf numFmtId="4" fontId="38" fillId="0" borderId="5" xfId="11" applyNumberFormat="1" applyFont="1" applyFill="1" applyBorder="1" applyAlignment="1">
      <alignment vertical="center"/>
    </xf>
    <xf numFmtId="4" fontId="276" fillId="0" borderId="5" xfId="4276" applyNumberFormat="1" applyFont="1" applyFill="1" applyBorder="1" applyAlignment="1">
      <alignment vertical="center"/>
    </xf>
    <xf numFmtId="4" fontId="26" fillId="0" borderId="5" xfId="11" applyNumberFormat="1" applyFont="1" applyFill="1" applyBorder="1" applyAlignment="1">
      <alignment vertical="center"/>
    </xf>
    <xf numFmtId="339" fontId="276" fillId="0" borderId="5" xfId="4276" applyNumberFormat="1" applyFont="1" applyFill="1" applyBorder="1" applyAlignment="1">
      <alignment vertical="center"/>
    </xf>
    <xf numFmtId="339" fontId="38" fillId="0" borderId="5" xfId="4276" applyNumberFormat="1" applyFont="1" applyFill="1" applyBorder="1" applyAlignment="1">
      <alignment vertical="center"/>
    </xf>
    <xf numFmtId="3" fontId="38" fillId="0" borderId="2" xfId="1" quotePrefix="1" applyNumberFormat="1" applyFont="1" applyFill="1" applyBorder="1" applyAlignment="1">
      <alignment horizontal="left" vertical="center" wrapText="1"/>
    </xf>
    <xf numFmtId="3" fontId="41" fillId="0" borderId="5" xfId="4276" applyNumberFormat="1" applyFont="1" applyFill="1" applyBorder="1" applyAlignment="1">
      <alignment vertical="center"/>
    </xf>
    <xf numFmtId="3" fontId="41" fillId="0" borderId="2" xfId="1" quotePrefix="1" applyNumberFormat="1" applyFont="1" applyFill="1" applyBorder="1" applyAlignment="1">
      <alignment horizontal="left" vertical="center" wrapText="1"/>
    </xf>
    <xf numFmtId="340" fontId="38" fillId="0" borderId="5" xfId="4276" applyNumberFormat="1" applyFont="1" applyFill="1" applyBorder="1" applyAlignment="1">
      <alignment vertical="center"/>
    </xf>
    <xf numFmtId="340" fontId="38" fillId="0" borderId="2" xfId="4276" applyNumberFormat="1" applyFont="1" applyFill="1" applyBorder="1" applyAlignment="1">
      <alignment vertical="center"/>
    </xf>
    <xf numFmtId="9" fontId="38" fillId="0" borderId="2" xfId="4276" applyNumberFormat="1" applyFont="1" applyFill="1" applyBorder="1" applyAlignment="1">
      <alignment horizontal="center" vertical="center"/>
    </xf>
    <xf numFmtId="9" fontId="41" fillId="0" borderId="2" xfId="4276" applyNumberFormat="1" applyFont="1" applyFill="1" applyBorder="1" applyAlignment="1">
      <alignment horizontal="center" vertical="center"/>
    </xf>
    <xf numFmtId="340" fontId="41" fillId="0" borderId="2" xfId="4276" applyNumberFormat="1" applyFont="1" applyFill="1" applyBorder="1" applyAlignment="1">
      <alignment vertical="center"/>
    </xf>
    <xf numFmtId="340" fontId="41" fillId="0" borderId="5" xfId="4276" applyNumberFormat="1" applyFont="1" applyFill="1" applyBorder="1" applyAlignment="1">
      <alignment vertical="center"/>
    </xf>
    <xf numFmtId="0" fontId="38" fillId="0" borderId="2" xfId="4276" quotePrefix="1" applyFont="1" applyFill="1" applyBorder="1" applyAlignment="1">
      <alignment horizontal="center" vertical="center" wrapText="1"/>
    </xf>
    <xf numFmtId="0" fontId="38" fillId="0" borderId="2" xfId="4276" applyFont="1" applyFill="1" applyBorder="1" applyAlignment="1">
      <alignment horizontal="left" vertical="center" wrapText="1"/>
    </xf>
    <xf numFmtId="0" fontId="41" fillId="0" borderId="2" xfId="4276" applyFont="1" applyFill="1" applyBorder="1" applyAlignment="1">
      <alignment horizontal="left" vertical="center" wrapText="1"/>
    </xf>
    <xf numFmtId="4" fontId="41" fillId="0" borderId="2" xfId="4276" applyNumberFormat="1" applyFont="1" applyFill="1" applyBorder="1" applyAlignment="1">
      <alignment horizontal="right" vertical="center"/>
    </xf>
    <xf numFmtId="3" fontId="41" fillId="0" borderId="2" xfId="4276" applyNumberFormat="1" applyFont="1" applyFill="1" applyBorder="1" applyAlignment="1">
      <alignment horizontal="right" vertical="center"/>
    </xf>
    <xf numFmtId="3" fontId="291" fillId="4" borderId="2" xfId="1" quotePrefix="1" applyNumberFormat="1" applyFont="1" applyFill="1" applyBorder="1" applyAlignment="1">
      <alignment vertical="center" wrapText="1"/>
    </xf>
    <xf numFmtId="3" fontId="38" fillId="0" borderId="2" xfId="1" applyNumberFormat="1" applyFont="1" applyFill="1" applyBorder="1" applyAlignment="1">
      <alignment horizontal="left" vertical="center" wrapText="1"/>
    </xf>
    <xf numFmtId="4" fontId="38" fillId="0" borderId="2" xfId="1" applyNumberFormat="1" applyFont="1" applyFill="1" applyBorder="1" applyAlignment="1">
      <alignment horizontal="right" vertical="center" wrapText="1"/>
    </xf>
    <xf numFmtId="0" fontId="9" fillId="0" borderId="0" xfId="4276" applyFont="1"/>
    <xf numFmtId="3" fontId="38" fillId="2" borderId="2" xfId="1" applyNumberFormat="1" applyFont="1" applyFill="1" applyBorder="1" applyAlignment="1">
      <alignment horizontal="left" vertical="center" wrapText="1"/>
    </xf>
    <xf numFmtId="0" fontId="38" fillId="2" borderId="2" xfId="4276" applyFont="1" applyFill="1" applyBorder="1" applyAlignment="1">
      <alignment horizontal="center" vertical="center"/>
    </xf>
    <xf numFmtId="4" fontId="38" fillId="2" borderId="2" xfId="1" applyNumberFormat="1" applyFont="1" applyFill="1" applyBorder="1" applyAlignment="1">
      <alignment horizontal="right" vertical="center" wrapText="1"/>
    </xf>
    <xf numFmtId="3" fontId="276" fillId="2" borderId="2" xfId="4276" applyNumberFormat="1" applyFont="1" applyFill="1" applyBorder="1" applyAlignment="1">
      <alignment vertical="center"/>
    </xf>
    <xf numFmtId="3" fontId="276" fillId="2" borderId="5" xfId="4276" applyNumberFormat="1" applyFont="1" applyFill="1" applyBorder="1" applyAlignment="1">
      <alignment vertical="center"/>
    </xf>
    <xf numFmtId="0" fontId="276" fillId="2" borderId="0" xfId="4276" applyFont="1" applyFill="1" applyBorder="1" applyAlignment="1">
      <alignment vertical="center"/>
    </xf>
    <xf numFmtId="0" fontId="283" fillId="2" borderId="0" xfId="4276" applyFont="1" applyFill="1" applyBorder="1" applyAlignment="1">
      <alignment vertical="center"/>
    </xf>
    <xf numFmtId="339" fontId="26" fillId="2" borderId="2" xfId="4276" applyNumberFormat="1" applyFont="1" applyFill="1" applyBorder="1" applyAlignment="1">
      <alignment vertical="center"/>
    </xf>
    <xf numFmtId="3" fontId="38" fillId="2" borderId="2" xfId="4276" applyNumberFormat="1" applyFont="1" applyFill="1" applyBorder="1" applyAlignment="1">
      <alignment vertical="center"/>
    </xf>
    <xf numFmtId="279" fontId="9" fillId="0" borderId="0" xfId="4276" applyNumberFormat="1" applyFont="1"/>
    <xf numFmtId="0" fontId="26" fillId="2" borderId="0" xfId="4276" applyFont="1" applyFill="1" applyBorder="1" applyAlignment="1">
      <alignment vertical="center"/>
    </xf>
    <xf numFmtId="0" fontId="285" fillId="2" borderId="0" xfId="4276" applyFont="1" applyFill="1" applyBorder="1" applyAlignment="1">
      <alignment vertical="center"/>
    </xf>
    <xf numFmtId="4" fontId="38" fillId="2" borderId="2" xfId="4276" applyNumberFormat="1" applyFont="1" applyFill="1" applyBorder="1" applyAlignment="1">
      <alignment vertical="center"/>
    </xf>
    <xf numFmtId="0" fontId="38" fillId="2" borderId="0" xfId="4276" applyFont="1" applyFill="1" applyBorder="1" applyAlignment="1">
      <alignment vertical="center"/>
    </xf>
    <xf numFmtId="0" fontId="286" fillId="2" borderId="0" xfId="4276" applyFont="1" applyFill="1" applyBorder="1" applyAlignment="1">
      <alignment vertical="center"/>
    </xf>
    <xf numFmtId="3" fontId="38" fillId="2" borderId="5" xfId="4276" applyNumberFormat="1" applyFont="1" applyFill="1" applyBorder="1" applyAlignment="1">
      <alignment vertical="center"/>
    </xf>
    <xf numFmtId="0" fontId="282" fillId="2" borderId="0" xfId="4276" applyFont="1" applyFill="1" applyBorder="1" applyAlignment="1">
      <alignment vertical="center"/>
    </xf>
    <xf numFmtId="4" fontId="38" fillId="0" borderId="2" xfId="1" quotePrefix="1" applyNumberFormat="1" applyFont="1" applyFill="1" applyBorder="1" applyAlignment="1">
      <alignment horizontal="right" vertical="center" wrapText="1"/>
    </xf>
    <xf numFmtId="0" fontId="289" fillId="0" borderId="2" xfId="4276" applyFont="1" applyFill="1" applyBorder="1" applyAlignment="1">
      <alignment vertical="center"/>
    </xf>
    <xf numFmtId="340" fontId="26" fillId="0" borderId="0" xfId="4276" applyNumberFormat="1" applyFont="1" applyFill="1" applyBorder="1" applyAlignment="1">
      <alignment vertical="center"/>
    </xf>
    <xf numFmtId="0" fontId="32" fillId="0" borderId="2" xfId="4276" applyFont="1" applyFill="1" applyBorder="1" applyAlignment="1">
      <alignment horizontal="center" vertical="center" wrapText="1"/>
    </xf>
    <xf numFmtId="340" fontId="26" fillId="0" borderId="2" xfId="4276" applyNumberFormat="1" applyFont="1" applyFill="1" applyBorder="1" applyAlignment="1">
      <alignment horizontal="center" vertical="center"/>
    </xf>
    <xf numFmtId="169" fontId="38" fillId="0" borderId="2" xfId="4276" applyNumberFormat="1" applyFont="1" applyFill="1" applyBorder="1" applyAlignment="1">
      <alignment horizontal="center" vertical="center"/>
    </xf>
    <xf numFmtId="340" fontId="276" fillId="0" borderId="2" xfId="4276" applyNumberFormat="1" applyFont="1" applyFill="1" applyBorder="1" applyAlignment="1">
      <alignment horizontal="center" vertical="center"/>
    </xf>
    <xf numFmtId="339" fontId="276" fillId="0" borderId="2" xfId="4276" applyNumberFormat="1" applyFont="1" applyFill="1" applyBorder="1" applyAlignment="1">
      <alignment horizontal="center" vertical="center"/>
    </xf>
    <xf numFmtId="339" fontId="38" fillId="0" borderId="2" xfId="4276" applyNumberFormat="1" applyFont="1" applyFill="1" applyBorder="1" applyAlignment="1">
      <alignment horizontal="center" vertical="center"/>
    </xf>
    <xf numFmtId="3" fontId="38" fillId="0" borderId="0" xfId="4276" applyNumberFormat="1" applyFont="1" applyFill="1" applyAlignment="1">
      <alignment horizontal="center" vertical="center"/>
    </xf>
    <xf numFmtId="3" fontId="38" fillId="50" borderId="2" xfId="4276" applyNumberFormat="1" applyFont="1" applyFill="1" applyBorder="1" applyAlignment="1">
      <alignment vertical="center"/>
    </xf>
    <xf numFmtId="3" fontId="41" fillId="50" borderId="2" xfId="4276" applyNumberFormat="1" applyFont="1" applyFill="1" applyBorder="1" applyAlignment="1">
      <alignment vertical="center"/>
    </xf>
    <xf numFmtId="3" fontId="41" fillId="50" borderId="2" xfId="4276" applyNumberFormat="1" applyFont="1" applyFill="1" applyBorder="1" applyAlignment="1">
      <alignment horizontal="right" vertical="center"/>
    </xf>
    <xf numFmtId="0" fontId="26" fillId="0" borderId="2" xfId="0" applyFont="1" applyFill="1" applyBorder="1" applyAlignment="1">
      <alignment horizontal="center" vertical="center"/>
    </xf>
    <xf numFmtId="0" fontId="26" fillId="0" borderId="2" xfId="0" applyFont="1" applyFill="1" applyBorder="1" applyAlignment="1">
      <alignment horizontal="left" vertical="center" wrapText="1"/>
    </xf>
    <xf numFmtId="3" fontId="292" fillId="0" borderId="2" xfId="1" applyNumberFormat="1" applyFont="1" applyFill="1" applyBorder="1" applyAlignment="1">
      <alignment horizontal="right" vertical="center" wrapText="1"/>
    </xf>
    <xf numFmtId="0" fontId="293" fillId="0" borderId="2" xfId="4276" applyFont="1" applyFill="1" applyBorder="1" applyAlignment="1">
      <alignment horizontal="center" vertical="center"/>
    </xf>
    <xf numFmtId="0" fontId="293" fillId="0" borderId="2" xfId="4276" applyFont="1" applyFill="1" applyBorder="1" applyAlignment="1">
      <alignment vertical="center"/>
    </xf>
    <xf numFmtId="4" fontId="293" fillId="0" borderId="2" xfId="4276" applyNumberFormat="1" applyFont="1" applyFill="1" applyBorder="1" applyAlignment="1">
      <alignment horizontal="center" vertical="center"/>
    </xf>
    <xf numFmtId="3" fontId="293" fillId="0" borderId="2" xfId="4276" applyNumberFormat="1" applyFont="1" applyFill="1" applyBorder="1" applyAlignment="1">
      <alignment horizontal="center" vertical="center"/>
    </xf>
    <xf numFmtId="3" fontId="293" fillId="0" borderId="2" xfId="4276" applyNumberFormat="1" applyFont="1" applyFill="1" applyBorder="1" applyAlignment="1">
      <alignment vertical="center"/>
    </xf>
    <xf numFmtId="3" fontId="293" fillId="0" borderId="5" xfId="4276" applyNumberFormat="1" applyFont="1" applyFill="1" applyBorder="1" applyAlignment="1">
      <alignment vertical="center"/>
    </xf>
    <xf numFmtId="3" fontId="293" fillId="0" borderId="0" xfId="4276" applyNumberFormat="1" applyFont="1" applyFill="1" applyAlignment="1">
      <alignment vertical="center"/>
    </xf>
    <xf numFmtId="0" fontId="293" fillId="0" borderId="0" xfId="4276" applyFont="1" applyFill="1" applyAlignment="1">
      <alignment vertical="center"/>
    </xf>
    <xf numFmtId="0" fontId="38" fillId="0" borderId="0" xfId="4276" applyFont="1" applyFill="1" applyAlignment="1">
      <alignment horizontal="right" vertical="center"/>
    </xf>
    <xf numFmtId="3" fontId="276" fillId="0" borderId="2" xfId="4276" applyNumberFormat="1" applyFont="1" applyFill="1" applyBorder="1" applyAlignment="1">
      <alignment horizontal="right" vertical="center"/>
    </xf>
    <xf numFmtId="4" fontId="38" fillId="0" borderId="2" xfId="4276" applyNumberFormat="1" applyFont="1" applyFill="1" applyBorder="1" applyAlignment="1">
      <alignment horizontal="right" vertical="center"/>
    </xf>
    <xf numFmtId="3" fontId="26" fillId="0" borderId="2" xfId="4276" applyNumberFormat="1" applyFont="1" applyFill="1" applyBorder="1" applyAlignment="1">
      <alignment horizontal="right" vertical="center"/>
    </xf>
    <xf numFmtId="4" fontId="276" fillId="0" borderId="2" xfId="11" applyNumberFormat="1" applyFont="1" applyFill="1" applyBorder="1" applyAlignment="1">
      <alignment horizontal="right" vertical="center"/>
    </xf>
    <xf numFmtId="340" fontId="38" fillId="0" borderId="2" xfId="4276" applyNumberFormat="1" applyFont="1" applyFill="1" applyBorder="1" applyAlignment="1">
      <alignment horizontal="right" vertical="center"/>
    </xf>
    <xf numFmtId="4" fontId="38" fillId="0" borderId="2" xfId="11" applyNumberFormat="1" applyFont="1" applyFill="1" applyBorder="1" applyAlignment="1">
      <alignment horizontal="right" vertical="center"/>
    </xf>
    <xf numFmtId="0" fontId="38" fillId="0" borderId="2" xfId="11" applyFont="1" applyFill="1" applyBorder="1" applyAlignment="1">
      <alignment horizontal="right" vertical="center"/>
    </xf>
    <xf numFmtId="2" fontId="38" fillId="0" borderId="2" xfId="11" applyNumberFormat="1" applyFont="1" applyFill="1" applyBorder="1" applyAlignment="1">
      <alignment horizontal="right" vertical="center"/>
    </xf>
    <xf numFmtId="4" fontId="276" fillId="0" borderId="2" xfId="4276" applyNumberFormat="1" applyFont="1" applyFill="1" applyBorder="1" applyAlignment="1">
      <alignment horizontal="right" vertical="center"/>
    </xf>
    <xf numFmtId="0" fontId="38" fillId="0" borderId="2" xfId="4276" applyFont="1" applyFill="1" applyBorder="1" applyAlignment="1">
      <alignment horizontal="right" vertical="center"/>
    </xf>
    <xf numFmtId="3" fontId="293" fillId="0" borderId="2" xfId="4276" applyNumberFormat="1" applyFont="1" applyFill="1" applyBorder="1" applyAlignment="1">
      <alignment horizontal="right" vertical="center"/>
    </xf>
    <xf numFmtId="3" fontId="277" fillId="0" borderId="2" xfId="4276" applyNumberFormat="1" applyFont="1" applyFill="1" applyBorder="1" applyAlignment="1">
      <alignment horizontal="right" vertical="center"/>
    </xf>
    <xf numFmtId="3" fontId="41" fillId="50" borderId="2" xfId="1" quotePrefix="1" applyNumberFormat="1" applyFont="1" applyFill="1" applyBorder="1" applyAlignment="1">
      <alignment vertical="center" wrapText="1"/>
    </xf>
    <xf numFmtId="1" fontId="274" fillId="0" borderId="0" xfId="1" applyNumberFormat="1" applyFont="1" applyFill="1" applyBorder="1" applyAlignment="1">
      <alignment horizontal="right" vertical="center"/>
    </xf>
    <xf numFmtId="0" fontId="290" fillId="0" borderId="1" xfId="4276" applyFont="1" applyFill="1" applyBorder="1" applyAlignment="1">
      <alignment horizontal="right" vertical="center"/>
    </xf>
    <xf numFmtId="0" fontId="290" fillId="0" borderId="2" xfId="4276" applyFont="1" applyFill="1" applyBorder="1" applyAlignment="1">
      <alignment horizontal="center" vertical="center"/>
    </xf>
    <xf numFmtId="3" fontId="290" fillId="0" borderId="2" xfId="1" quotePrefix="1" applyNumberFormat="1" applyFont="1" applyFill="1" applyBorder="1" applyAlignment="1">
      <alignment horizontal="left" vertical="center" wrapText="1"/>
    </xf>
    <xf numFmtId="0" fontId="294" fillId="0" borderId="2" xfId="4276" applyFont="1" applyFill="1" applyBorder="1" applyAlignment="1">
      <alignment vertical="center"/>
    </xf>
    <xf numFmtId="3" fontId="294" fillId="0" borderId="2" xfId="4276" applyNumberFormat="1" applyFont="1" applyFill="1" applyBorder="1" applyAlignment="1">
      <alignment horizontal="center" vertical="center"/>
    </xf>
    <xf numFmtId="3" fontId="290" fillId="0" borderId="2" xfId="4276" applyNumberFormat="1" applyFont="1" applyFill="1" applyBorder="1" applyAlignment="1">
      <alignment horizontal="right" vertical="center"/>
    </xf>
    <xf numFmtId="3" fontId="294" fillId="0" borderId="2" xfId="4276" applyNumberFormat="1" applyFont="1" applyFill="1" applyBorder="1" applyAlignment="1">
      <alignment vertical="center"/>
    </xf>
    <xf numFmtId="3" fontId="294" fillId="0" borderId="5" xfId="4276" applyNumberFormat="1" applyFont="1" applyFill="1" applyBorder="1" applyAlignment="1">
      <alignment vertical="center"/>
    </xf>
    <xf numFmtId="3" fontId="290" fillId="0" borderId="0" xfId="4276" applyNumberFormat="1" applyFont="1" applyFill="1" applyBorder="1" applyAlignment="1">
      <alignment vertical="center"/>
    </xf>
    <xf numFmtId="0" fontId="294" fillId="0" borderId="0" xfId="4276" applyFont="1" applyFill="1" applyBorder="1" applyAlignment="1">
      <alignment vertical="center"/>
    </xf>
    <xf numFmtId="0" fontId="281" fillId="0" borderId="0" xfId="4276" applyFont="1" applyFill="1" applyBorder="1" applyAlignment="1">
      <alignment vertical="center"/>
    </xf>
    <xf numFmtId="3" fontId="295" fillId="50" borderId="2" xfId="1" quotePrefix="1" applyNumberFormat="1" applyFont="1" applyFill="1" applyBorder="1" applyAlignment="1">
      <alignment horizontal="left" vertical="center" wrapText="1"/>
    </xf>
    <xf numFmtId="1" fontId="38" fillId="0" borderId="2" xfId="3" applyNumberFormat="1" applyFont="1" applyFill="1" applyBorder="1" applyAlignment="1">
      <alignment horizontal="left" vertical="center" wrapText="1"/>
    </xf>
    <xf numFmtId="3" fontId="287" fillId="0" borderId="0" xfId="4276" applyNumberFormat="1" applyFont="1" applyFill="1" applyBorder="1" applyAlignment="1">
      <alignment vertical="center"/>
    </xf>
    <xf numFmtId="3" fontId="282" fillId="0" borderId="0" xfId="4276" applyNumberFormat="1" applyFont="1" applyFill="1" applyBorder="1" applyAlignment="1">
      <alignment vertical="center"/>
    </xf>
    <xf numFmtId="3" fontId="296" fillId="50" borderId="2" xfId="28" applyNumberFormat="1" applyFont="1" applyFill="1" applyBorder="1" applyAlignment="1">
      <alignment horizontal="left" vertical="center" wrapText="1"/>
    </xf>
    <xf numFmtId="1" fontId="296" fillId="50" borderId="2" xfId="1" applyNumberFormat="1" applyFont="1" applyFill="1" applyBorder="1" applyAlignment="1">
      <alignment vertical="center" wrapText="1"/>
    </xf>
    <xf numFmtId="3" fontId="274" fillId="0" borderId="1" xfId="1" applyNumberFormat="1" applyFont="1" applyFill="1" applyBorder="1" applyAlignment="1">
      <alignment horizontal="center" vertical="center" wrapText="1"/>
    </xf>
    <xf numFmtId="1" fontId="275" fillId="0" borderId="0" xfId="1" applyNumberFormat="1" applyFont="1" applyFill="1" applyBorder="1" applyAlignment="1">
      <alignment vertical="center"/>
    </xf>
    <xf numFmtId="3" fontId="275" fillId="0" borderId="0" xfId="1" applyNumberFormat="1" applyFont="1" applyFill="1" applyBorder="1" applyAlignment="1">
      <alignment vertical="center" wrapText="1"/>
    </xf>
    <xf numFmtId="3" fontId="275" fillId="0" borderId="1" xfId="1" applyNumberFormat="1" applyFont="1" applyFill="1" applyBorder="1" applyAlignment="1">
      <alignment vertical="center" wrapText="1"/>
    </xf>
    <xf numFmtId="1" fontId="133" fillId="0" borderId="0" xfId="1" applyNumberFormat="1" applyFont="1" applyFill="1" applyAlignment="1">
      <alignment horizontal="right" vertical="center"/>
    </xf>
    <xf numFmtId="178" fontId="133" fillId="0" borderId="0" xfId="1618" applyNumberFormat="1" applyFont="1" applyFill="1" applyAlignment="1">
      <alignment horizontal="right" vertical="center"/>
    </xf>
    <xf numFmtId="3" fontId="9" fillId="0" borderId="1" xfId="1" applyNumberFormat="1" applyFont="1" applyFill="1" applyBorder="1" applyAlignment="1">
      <alignment horizontal="center" vertical="center" wrapText="1"/>
    </xf>
    <xf numFmtId="3" fontId="9" fillId="0" borderId="0" xfId="1" applyNumberFormat="1" applyFont="1" applyFill="1" applyBorder="1" applyAlignment="1">
      <alignment horizontal="center" vertical="center" wrapText="1"/>
    </xf>
    <xf numFmtId="247" fontId="9" fillId="0" borderId="2" xfId="4260" quotePrefix="1" applyNumberFormat="1" applyFont="1" applyFill="1" applyBorder="1" applyAlignment="1">
      <alignment horizontal="center" vertical="center" wrapText="1"/>
    </xf>
    <xf numFmtId="247" fontId="9" fillId="0" borderId="2" xfId="4260" quotePrefix="1" applyNumberFormat="1" applyFont="1" applyFill="1" applyBorder="1" applyAlignment="1">
      <alignment horizontal="right" vertical="center" wrapText="1"/>
    </xf>
    <xf numFmtId="3" fontId="9" fillId="0" borderId="5" xfId="1" quotePrefix="1" applyNumberFormat="1" applyFont="1" applyFill="1" applyBorder="1" applyAlignment="1">
      <alignment horizontal="center" vertical="center" wrapText="1"/>
    </xf>
    <xf numFmtId="3" fontId="17" fillId="0" borderId="2" xfId="1" quotePrefix="1" applyNumberFormat="1" applyFont="1" applyFill="1" applyBorder="1" applyAlignment="1">
      <alignment horizontal="left" vertical="center" wrapText="1"/>
    </xf>
    <xf numFmtId="247" fontId="17" fillId="0" borderId="2" xfId="4260" quotePrefix="1" applyNumberFormat="1" applyFont="1" applyFill="1" applyBorder="1" applyAlignment="1">
      <alignment horizontal="right" vertical="center" wrapText="1"/>
    </xf>
    <xf numFmtId="247" fontId="17" fillId="0" borderId="2" xfId="4260" quotePrefix="1" applyNumberFormat="1" applyFont="1" applyFill="1" applyBorder="1" applyAlignment="1">
      <alignment horizontal="center" vertical="center" wrapText="1"/>
    </xf>
    <xf numFmtId="3" fontId="17" fillId="0" borderId="5" xfId="1" quotePrefix="1" applyNumberFormat="1" applyFont="1" applyFill="1" applyBorder="1" applyAlignment="1">
      <alignment horizontal="center" vertical="center" wrapText="1"/>
    </xf>
    <xf numFmtId="3" fontId="9" fillId="0" borderId="2" xfId="1" quotePrefix="1" applyNumberFormat="1" applyFont="1" applyFill="1" applyBorder="1" applyAlignment="1">
      <alignment horizontal="left" vertical="center" wrapText="1"/>
    </xf>
    <xf numFmtId="3" fontId="16" fillId="0" borderId="2" xfId="1" quotePrefix="1" applyNumberFormat="1" applyFont="1" applyFill="1" applyBorder="1" applyAlignment="1">
      <alignment horizontal="center" vertical="center" wrapText="1"/>
    </xf>
    <xf numFmtId="3" fontId="16" fillId="0" borderId="2" xfId="1" quotePrefix="1" applyNumberFormat="1" applyFont="1" applyFill="1" applyBorder="1" applyAlignment="1">
      <alignment horizontal="left" vertical="center" wrapText="1"/>
    </xf>
    <xf numFmtId="247" fontId="16" fillId="0" borderId="2" xfId="4260" quotePrefix="1" applyNumberFormat="1" applyFont="1" applyFill="1" applyBorder="1" applyAlignment="1">
      <alignment horizontal="center" vertical="center" wrapText="1"/>
    </xf>
    <xf numFmtId="247" fontId="16" fillId="0" borderId="2" xfId="4260" quotePrefix="1" applyNumberFormat="1" applyFont="1" applyFill="1" applyBorder="1" applyAlignment="1">
      <alignment horizontal="right" vertical="center" wrapText="1"/>
    </xf>
    <xf numFmtId="3" fontId="16" fillId="0" borderId="5" xfId="1" quotePrefix="1" applyNumberFormat="1" applyFont="1" applyFill="1" applyBorder="1" applyAlignment="1">
      <alignment horizontal="center" vertical="center" wrapText="1"/>
    </xf>
    <xf numFmtId="3" fontId="16" fillId="0" borderId="0" xfId="1" applyNumberFormat="1" applyFont="1" applyFill="1" applyBorder="1" applyAlignment="1">
      <alignment vertical="center" wrapText="1"/>
    </xf>
    <xf numFmtId="4" fontId="9" fillId="0" borderId="2" xfId="1" quotePrefix="1" applyNumberFormat="1" applyFont="1" applyFill="1" applyBorder="1" applyAlignment="1">
      <alignment horizontal="center" vertical="center" wrapText="1"/>
    </xf>
    <xf numFmtId="3" fontId="9" fillId="0" borderId="2" xfId="3" applyNumberFormat="1" applyFont="1" applyFill="1" applyBorder="1" applyAlignment="1">
      <alignment horizontal="left" vertical="center" wrapText="1"/>
    </xf>
    <xf numFmtId="3" fontId="17" fillId="0" borderId="2" xfId="1" quotePrefix="1" applyNumberFormat="1" applyFont="1" applyFill="1" applyBorder="1" applyAlignment="1">
      <alignment horizontal="right" vertical="center" wrapText="1"/>
    </xf>
    <xf numFmtId="247" fontId="17" fillId="0" borderId="2" xfId="4260" applyNumberFormat="1" applyFont="1" applyFill="1" applyBorder="1" applyAlignment="1">
      <alignment horizontal="center" vertical="center" wrapText="1"/>
    </xf>
    <xf numFmtId="1" fontId="17" fillId="0" borderId="5" xfId="1" applyNumberFormat="1" applyFont="1" applyFill="1" applyBorder="1" applyAlignment="1">
      <alignment horizontal="right" vertical="center"/>
    </xf>
    <xf numFmtId="4" fontId="17" fillId="0" borderId="2" xfId="1" quotePrefix="1" applyNumberFormat="1" applyFont="1" applyFill="1" applyBorder="1" applyAlignment="1">
      <alignment horizontal="center" vertical="center" wrapText="1"/>
    </xf>
    <xf numFmtId="3" fontId="17" fillId="0" borderId="2" xfId="1" quotePrefix="1" applyNumberFormat="1" applyFont="1" applyFill="1" applyBorder="1" applyAlignment="1">
      <alignment vertical="center" wrapText="1"/>
    </xf>
    <xf numFmtId="2" fontId="17" fillId="0" borderId="0" xfId="1" applyNumberFormat="1" applyFont="1" applyFill="1" applyAlignment="1">
      <alignment vertical="center"/>
    </xf>
    <xf numFmtId="49" fontId="17" fillId="0" borderId="2" xfId="1" quotePrefix="1" applyNumberFormat="1" applyFont="1" applyFill="1" applyBorder="1" applyAlignment="1">
      <alignment horizontal="center" vertical="center"/>
    </xf>
    <xf numFmtId="0" fontId="17" fillId="0" borderId="2" xfId="4261" applyFont="1" applyFill="1" applyBorder="1" applyAlignment="1">
      <alignment vertical="center" wrapText="1"/>
    </xf>
    <xf numFmtId="4"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center" vertical="center"/>
    </xf>
    <xf numFmtId="0" fontId="17" fillId="0" borderId="2" xfId="0" applyFont="1" applyFill="1" applyBorder="1" applyAlignment="1">
      <alignment vertical="center" wrapText="1"/>
    </xf>
    <xf numFmtId="247" fontId="17" fillId="0" borderId="2" xfId="4260" applyNumberFormat="1" applyFont="1" applyFill="1" applyBorder="1" applyAlignment="1">
      <alignment horizontal="right" vertical="center" wrapText="1"/>
    </xf>
    <xf numFmtId="0" fontId="17" fillId="0" borderId="2" xfId="0" applyFont="1" applyFill="1" applyBorder="1" applyAlignment="1">
      <alignment vertical="center"/>
    </xf>
    <xf numFmtId="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8" fontId="9" fillId="0" borderId="2" xfId="1776" quotePrefix="1"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xf>
    <xf numFmtId="1" fontId="16" fillId="0" borderId="0" xfId="1" applyNumberFormat="1" applyFont="1" applyFill="1" applyBorder="1" applyAlignment="1">
      <alignment horizontal="left" vertical="center"/>
    </xf>
    <xf numFmtId="49" fontId="5" fillId="0" borderId="2" xfId="1" applyNumberFormat="1" applyFont="1" applyFill="1" applyBorder="1" applyAlignment="1">
      <alignment horizontal="center" vertical="center"/>
    </xf>
    <xf numFmtId="1" fontId="5" fillId="0" borderId="2" xfId="1" applyNumberFormat="1" applyFont="1" applyFill="1" applyBorder="1" applyAlignment="1">
      <alignment horizontal="left" vertical="center" wrapText="1"/>
    </xf>
    <xf numFmtId="1" fontId="5" fillId="0" borderId="2" xfId="1" applyNumberFormat="1" applyFont="1" applyFill="1" applyBorder="1" applyAlignment="1">
      <alignment horizontal="center" vertical="center" wrapText="1"/>
    </xf>
    <xf numFmtId="247" fontId="5" fillId="0" borderId="2" xfId="4260" applyNumberFormat="1" applyFont="1" applyFill="1" applyBorder="1" applyAlignment="1">
      <alignment horizontal="center" vertical="center" wrapText="1"/>
    </xf>
    <xf numFmtId="247" fontId="5" fillId="0" borderId="2" xfId="4260" quotePrefix="1" applyNumberFormat="1" applyFont="1" applyFill="1" applyBorder="1" applyAlignment="1">
      <alignment horizontal="right" vertical="center" wrapText="1"/>
    </xf>
    <xf numFmtId="178" fontId="5" fillId="0" borderId="2" xfId="1776" quotePrefix="1" applyNumberFormat="1" applyFont="1" applyFill="1" applyBorder="1" applyAlignment="1">
      <alignment horizontal="center" vertical="center" wrapText="1"/>
    </xf>
    <xf numFmtId="3" fontId="35" fillId="0" borderId="2" xfId="1" quotePrefix="1"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1" fontId="5" fillId="0" borderId="2" xfId="1" applyNumberFormat="1" applyFont="1" applyFill="1" applyBorder="1" applyAlignment="1">
      <alignment horizontal="right" vertical="center"/>
    </xf>
    <xf numFmtId="1" fontId="5" fillId="0" borderId="0" xfId="1" applyNumberFormat="1" applyFont="1" applyFill="1" applyBorder="1" applyAlignment="1">
      <alignment horizontal="right" vertical="center"/>
    </xf>
    <xf numFmtId="3" fontId="35" fillId="0" borderId="0" xfId="1" applyNumberFormat="1" applyFont="1" applyFill="1" applyBorder="1" applyAlignment="1">
      <alignment horizontal="center" vertical="center" wrapText="1"/>
    </xf>
    <xf numFmtId="3" fontId="5" fillId="0" borderId="2" xfId="1" quotePrefix="1" applyNumberFormat="1" applyFont="1" applyFill="1" applyBorder="1" applyAlignment="1">
      <alignment horizontal="center" vertical="center" wrapText="1"/>
    </xf>
    <xf numFmtId="3" fontId="5" fillId="0" borderId="2" xfId="1" quotePrefix="1" applyNumberFormat="1" applyFont="1" applyFill="1" applyBorder="1" applyAlignment="1">
      <alignment horizontal="left" vertical="center" wrapText="1"/>
    </xf>
    <xf numFmtId="178" fontId="35" fillId="0" borderId="2" xfId="1776" quotePrefix="1" applyNumberFormat="1" applyFont="1" applyFill="1" applyBorder="1" applyAlignment="1">
      <alignment horizontal="center" vertical="center" wrapText="1"/>
    </xf>
    <xf numFmtId="247" fontId="5" fillId="0" borderId="0" xfId="4260" applyNumberFormat="1" applyFont="1" applyFill="1" applyAlignment="1">
      <alignment vertical="center"/>
    </xf>
    <xf numFmtId="3" fontId="35" fillId="0" borderId="2" xfId="1" quotePrefix="1" applyNumberFormat="1" applyFont="1" applyFill="1" applyBorder="1" applyAlignment="1">
      <alignment horizontal="left" vertical="center" wrapText="1"/>
    </xf>
    <xf numFmtId="1" fontId="35" fillId="0" borderId="2" xfId="1" applyNumberFormat="1" applyFont="1" applyFill="1" applyBorder="1" applyAlignment="1">
      <alignment horizontal="center" vertical="center" wrapText="1"/>
    </xf>
    <xf numFmtId="247" fontId="35" fillId="0" borderId="2" xfId="4260" applyNumberFormat="1" applyFont="1" applyFill="1" applyBorder="1" applyAlignment="1">
      <alignment horizontal="center" vertical="center" wrapText="1"/>
    </xf>
    <xf numFmtId="247" fontId="35" fillId="0" borderId="2" xfId="4260" quotePrefix="1" applyNumberFormat="1" applyFont="1" applyFill="1" applyBorder="1" applyAlignment="1">
      <alignment horizontal="right" vertical="center" wrapText="1"/>
    </xf>
    <xf numFmtId="3" fontId="35" fillId="0" borderId="2" xfId="0" applyNumberFormat="1" applyFont="1" applyFill="1" applyBorder="1" applyAlignment="1">
      <alignment horizontal="center" vertical="center"/>
    </xf>
    <xf numFmtId="1" fontId="35" fillId="0" borderId="2" xfId="1" applyNumberFormat="1" applyFont="1" applyFill="1" applyBorder="1" applyAlignment="1">
      <alignment horizontal="right" vertical="center"/>
    </xf>
    <xf numFmtId="1" fontId="35" fillId="0" borderId="0" xfId="1" applyNumberFormat="1" applyFont="1" applyFill="1" applyBorder="1" applyAlignment="1">
      <alignment horizontal="right" vertical="center"/>
    </xf>
    <xf numFmtId="247" fontId="35" fillId="0" borderId="0" xfId="4260" applyNumberFormat="1" applyFont="1" applyFill="1" applyAlignment="1">
      <alignment vertical="center"/>
    </xf>
    <xf numFmtId="3" fontId="36" fillId="0" borderId="2" xfId="1" quotePrefix="1" applyNumberFormat="1" applyFont="1" applyFill="1" applyBorder="1" applyAlignment="1">
      <alignment horizontal="center" vertical="center" wrapText="1"/>
    </xf>
    <xf numFmtId="3" fontId="36" fillId="50" borderId="2" xfId="1" quotePrefix="1" applyNumberFormat="1" applyFont="1" applyFill="1" applyBorder="1" applyAlignment="1">
      <alignment horizontal="left" vertical="center" wrapText="1"/>
    </xf>
    <xf numFmtId="1" fontId="36" fillId="0" borderId="2" xfId="1" applyNumberFormat="1" applyFont="1" applyFill="1" applyBorder="1" applyAlignment="1">
      <alignment horizontal="center" vertical="center" wrapText="1"/>
    </xf>
    <xf numFmtId="247" fontId="36" fillId="0" borderId="2" xfId="4260" applyNumberFormat="1" applyFont="1" applyFill="1" applyBorder="1" applyAlignment="1">
      <alignment horizontal="center" vertical="center" wrapText="1"/>
    </xf>
    <xf numFmtId="247" fontId="36" fillId="0" borderId="2" xfId="4260" quotePrefix="1" applyNumberFormat="1" applyFont="1" applyFill="1" applyBorder="1" applyAlignment="1">
      <alignment horizontal="right" vertical="center" wrapText="1"/>
    </xf>
    <xf numFmtId="178" fontId="36" fillId="0" borderId="2" xfId="1776" quotePrefix="1" applyNumberFormat="1" applyFont="1" applyFill="1" applyBorder="1" applyAlignment="1">
      <alignment horizontal="center" vertical="center" wrapText="1"/>
    </xf>
    <xf numFmtId="3" fontId="36" fillId="0" borderId="2" xfId="0" applyNumberFormat="1" applyFont="1" applyFill="1" applyBorder="1" applyAlignment="1">
      <alignment horizontal="center" vertical="center"/>
    </xf>
    <xf numFmtId="1" fontId="36" fillId="0" borderId="2" xfId="1" applyNumberFormat="1" applyFont="1" applyFill="1" applyBorder="1" applyAlignment="1">
      <alignment horizontal="right" vertical="center"/>
    </xf>
    <xf numFmtId="1" fontId="36" fillId="0" borderId="0" xfId="1" applyNumberFormat="1" applyFont="1" applyFill="1" applyBorder="1" applyAlignment="1">
      <alignment horizontal="right" vertical="center"/>
    </xf>
    <xf numFmtId="1" fontId="36" fillId="0" borderId="0" xfId="1" applyNumberFormat="1" applyFont="1" applyFill="1" applyAlignment="1">
      <alignment vertical="center"/>
    </xf>
    <xf numFmtId="3" fontId="36" fillId="0" borderId="0" xfId="1" applyNumberFormat="1" applyFont="1" applyFill="1" applyBorder="1" applyAlignment="1">
      <alignment horizontal="center" vertical="center" wrapText="1"/>
    </xf>
    <xf numFmtId="247" fontId="36" fillId="0" borderId="0" xfId="4260" applyNumberFormat="1" applyFont="1" applyFill="1" applyAlignment="1">
      <alignment vertical="center"/>
    </xf>
    <xf numFmtId="3" fontId="35" fillId="0" borderId="2" xfId="1" quotePrefix="1" applyNumberFormat="1" applyFont="1" applyFill="1" applyBorder="1" applyAlignment="1">
      <alignment horizontal="right" vertical="center" wrapText="1"/>
    </xf>
    <xf numFmtId="0" fontId="5" fillId="0" borderId="2" xfId="0" applyFont="1" applyFill="1" applyBorder="1" applyAlignment="1">
      <alignment vertical="center" wrapText="1"/>
    </xf>
    <xf numFmtId="3" fontId="5" fillId="0" borderId="2" xfId="1" quotePrefix="1" applyNumberFormat="1" applyFont="1" applyFill="1" applyBorder="1" applyAlignment="1">
      <alignment horizontal="right" vertical="center" wrapText="1"/>
    </xf>
    <xf numFmtId="3" fontId="5" fillId="0" borderId="0" xfId="1" applyNumberFormat="1" applyFont="1" applyFill="1" applyBorder="1" applyAlignment="1">
      <alignment horizontal="center" vertical="center" wrapText="1"/>
    </xf>
    <xf numFmtId="3" fontId="35" fillId="0" borderId="2" xfId="3" applyNumberFormat="1" applyFont="1" applyFill="1" applyBorder="1" applyAlignment="1">
      <alignment horizontal="center" vertical="center" wrapText="1"/>
    </xf>
    <xf numFmtId="0" fontId="35" fillId="0" borderId="2" xfId="28" applyFont="1" applyFill="1" applyBorder="1" applyAlignment="1">
      <alignment horizontal="left" vertical="center" wrapText="1"/>
    </xf>
    <xf numFmtId="247" fontId="5" fillId="0" borderId="2" xfId="4260" applyNumberFormat="1" applyFont="1" applyFill="1" applyBorder="1" applyAlignment="1">
      <alignment horizontal="right" vertical="center" wrapText="1"/>
    </xf>
    <xf numFmtId="247" fontId="35" fillId="0" borderId="2" xfId="4260" applyNumberFormat="1" applyFont="1" applyFill="1" applyBorder="1" applyAlignment="1">
      <alignment horizontal="right" vertical="center" wrapText="1"/>
    </xf>
    <xf numFmtId="1" fontId="35" fillId="0" borderId="2" xfId="1" applyNumberFormat="1" applyFont="1" applyFill="1" applyBorder="1" applyAlignment="1">
      <alignment horizontal="center" vertical="center"/>
    </xf>
    <xf numFmtId="0" fontId="35" fillId="0" borderId="2" xfId="0" applyFont="1" applyFill="1" applyBorder="1" applyAlignment="1">
      <alignment vertical="center" wrapText="1"/>
    </xf>
    <xf numFmtId="3" fontId="33" fillId="0" borderId="2" xfId="1" quotePrefix="1" applyNumberFormat="1" applyFont="1" applyFill="1" applyBorder="1" applyAlignment="1">
      <alignment horizontal="center" vertical="center" wrapText="1"/>
    </xf>
    <xf numFmtId="3" fontId="33" fillId="0" borderId="2" xfId="1" quotePrefix="1" applyNumberFormat="1" applyFont="1" applyFill="1" applyBorder="1" applyAlignment="1">
      <alignment horizontal="left" vertical="center" wrapText="1"/>
    </xf>
    <xf numFmtId="247" fontId="33" fillId="0" borderId="2" xfId="4260" quotePrefix="1" applyNumberFormat="1" applyFont="1" applyFill="1" applyBorder="1" applyAlignment="1">
      <alignment horizontal="right" vertical="center" wrapText="1"/>
    </xf>
    <xf numFmtId="1" fontId="33" fillId="0" borderId="2" xfId="1" applyNumberFormat="1" applyFont="1" applyFill="1" applyBorder="1" applyAlignment="1">
      <alignment horizontal="center" vertical="center" wrapText="1"/>
    </xf>
    <xf numFmtId="247" fontId="33" fillId="0" borderId="2" xfId="4260" applyNumberFormat="1" applyFont="1" applyFill="1" applyBorder="1" applyAlignment="1">
      <alignment horizontal="center" vertical="center" wrapText="1"/>
    </xf>
    <xf numFmtId="3" fontId="33" fillId="0" borderId="2" xfId="1" quotePrefix="1" applyNumberFormat="1" applyFont="1" applyFill="1" applyBorder="1" applyAlignment="1">
      <alignment horizontal="right" vertical="center" wrapText="1"/>
    </xf>
    <xf numFmtId="178" fontId="33" fillId="0" borderId="2" xfId="1776" quotePrefix="1"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xf>
    <xf numFmtId="1" fontId="33" fillId="0" borderId="2" xfId="1" applyNumberFormat="1" applyFont="1" applyFill="1" applyBorder="1" applyAlignment="1">
      <alignment horizontal="right" vertical="center"/>
    </xf>
    <xf numFmtId="1" fontId="33" fillId="0" borderId="0" xfId="1" applyNumberFormat="1" applyFont="1" applyFill="1" applyBorder="1" applyAlignment="1">
      <alignment horizontal="right" vertical="center"/>
    </xf>
    <xf numFmtId="0" fontId="5" fillId="0" borderId="2" xfId="2678" applyFont="1" applyFill="1" applyBorder="1" applyAlignment="1">
      <alignment horizontal="center" vertical="center" wrapText="1"/>
    </xf>
    <xf numFmtId="0" fontId="5" fillId="0" borderId="2" xfId="2678" applyFont="1" applyFill="1" applyBorder="1" applyAlignment="1">
      <alignment vertical="center" wrapText="1"/>
    </xf>
    <xf numFmtId="3" fontId="5" fillId="0" borderId="2" xfId="0" applyNumberFormat="1" applyFont="1" applyFill="1" applyBorder="1" applyAlignment="1">
      <alignment vertical="center"/>
    </xf>
    <xf numFmtId="178" fontId="35" fillId="0" borderId="2" xfId="1776" applyNumberFormat="1" applyFont="1" applyFill="1" applyBorder="1" applyAlignment="1">
      <alignment horizontal="center" vertical="center" wrapText="1"/>
    </xf>
    <xf numFmtId="1" fontId="5" fillId="0" borderId="2" xfId="1" applyNumberFormat="1" applyFont="1" applyFill="1" applyBorder="1" applyAlignment="1">
      <alignment vertical="center"/>
    </xf>
    <xf numFmtId="49" fontId="5" fillId="0" borderId="2" xfId="1" quotePrefix="1" applyNumberFormat="1" applyFont="1" applyFill="1" applyBorder="1" applyAlignment="1">
      <alignment horizontal="center" vertical="center"/>
    </xf>
    <xf numFmtId="1" fontId="5" fillId="0" borderId="2" xfId="1" applyNumberFormat="1" applyFont="1" applyFill="1" applyBorder="1" applyAlignment="1">
      <alignment vertical="center" wrapText="1"/>
    </xf>
    <xf numFmtId="3" fontId="5" fillId="0" borderId="2" xfId="1" quotePrefix="1" applyNumberFormat="1" applyFont="1" applyFill="1" applyBorder="1" applyAlignment="1">
      <alignment vertical="center" wrapText="1"/>
    </xf>
    <xf numFmtId="1" fontId="33" fillId="0" borderId="2" xfId="1" applyNumberFormat="1" applyFont="1" applyFill="1" applyBorder="1" applyAlignment="1">
      <alignment horizontal="center" vertical="center"/>
    </xf>
    <xf numFmtId="1" fontId="33" fillId="0" borderId="2" xfId="1" applyNumberFormat="1" applyFont="1" applyFill="1" applyBorder="1" applyAlignment="1">
      <alignment vertical="center"/>
    </xf>
    <xf numFmtId="0" fontId="35" fillId="0" borderId="2" xfId="2678" quotePrefix="1" applyFont="1" applyFill="1" applyBorder="1" applyAlignment="1">
      <alignment horizontal="center" vertical="center" wrapText="1"/>
    </xf>
    <xf numFmtId="0" fontId="35" fillId="0" borderId="2" xfId="4261" applyFont="1" applyFill="1" applyBorder="1" applyAlignment="1">
      <alignment vertical="center" wrapText="1"/>
    </xf>
    <xf numFmtId="0" fontId="35" fillId="0" borderId="2" xfId="2678" applyFont="1" applyFill="1" applyBorder="1" applyAlignment="1">
      <alignment horizontal="center" vertical="center"/>
    </xf>
    <xf numFmtId="3" fontId="35" fillId="0" borderId="2" xfId="1" quotePrefix="1" applyNumberFormat="1" applyFont="1" applyFill="1" applyBorder="1" applyAlignment="1">
      <alignment vertical="center" wrapText="1"/>
    </xf>
    <xf numFmtId="247" fontId="35" fillId="0" borderId="15" xfId="4260" applyNumberFormat="1" applyFont="1" applyFill="1" applyBorder="1" applyAlignment="1">
      <alignment horizontal="right" vertical="center" wrapText="1"/>
    </xf>
    <xf numFmtId="1" fontId="35" fillId="0" borderId="2" xfId="1" applyNumberFormat="1" applyFont="1" applyFill="1" applyBorder="1" applyAlignment="1">
      <alignment vertical="center"/>
    </xf>
    <xf numFmtId="0" fontId="5" fillId="0" borderId="2" xfId="2678" quotePrefix="1" applyFont="1" applyFill="1" applyBorder="1" applyAlignment="1">
      <alignment horizontal="center" vertical="center" wrapText="1"/>
    </xf>
    <xf numFmtId="0" fontId="5" fillId="0" borderId="2" xfId="2678" applyFont="1" applyFill="1" applyBorder="1" applyAlignment="1">
      <alignment horizontal="center" vertical="center"/>
    </xf>
    <xf numFmtId="178" fontId="5" fillId="0" borderId="2" xfId="1776" applyNumberFormat="1" applyFont="1" applyFill="1" applyBorder="1" applyAlignment="1">
      <alignment horizontal="center" vertical="center" wrapText="1"/>
    </xf>
    <xf numFmtId="0" fontId="35" fillId="0" borderId="2" xfId="2678" applyFont="1" applyFill="1" applyBorder="1" applyAlignment="1">
      <alignment vertical="center" wrapText="1"/>
    </xf>
    <xf numFmtId="3" fontId="35" fillId="0" borderId="2" xfId="1" applyNumberFormat="1" applyFont="1" applyFill="1" applyBorder="1" applyAlignment="1">
      <alignment horizontal="center" vertical="center" wrapText="1"/>
    </xf>
    <xf numFmtId="178" fontId="35" fillId="0" borderId="2" xfId="1776" applyNumberFormat="1" applyFont="1" applyFill="1" applyBorder="1" applyAlignment="1">
      <alignment vertical="center" wrapText="1"/>
    </xf>
    <xf numFmtId="0" fontId="5" fillId="0" borderId="2" xfId="28" applyFont="1" applyFill="1" applyBorder="1" applyAlignment="1">
      <alignment vertical="center" wrapText="1"/>
    </xf>
    <xf numFmtId="49" fontId="33" fillId="0" borderId="2" xfId="1" applyNumberFormat="1" applyFont="1" applyFill="1" applyBorder="1" applyAlignment="1">
      <alignment horizontal="center" vertical="center"/>
    </xf>
    <xf numFmtId="1" fontId="33" fillId="0" borderId="2" xfId="1" applyNumberFormat="1" applyFont="1" applyFill="1" applyBorder="1" applyAlignment="1">
      <alignment vertical="center" wrapText="1"/>
    </xf>
    <xf numFmtId="247" fontId="5" fillId="0" borderId="2" xfId="4260" quotePrefix="1" applyNumberFormat="1" applyFont="1" applyFill="1" applyBorder="1" applyAlignment="1">
      <alignment horizontal="center" vertical="center" wrapText="1"/>
    </xf>
    <xf numFmtId="49" fontId="35" fillId="0" borderId="2" xfId="1" quotePrefix="1" applyNumberFormat="1" applyFont="1" applyFill="1" applyBorder="1" applyAlignment="1">
      <alignment horizontal="center" vertical="center"/>
    </xf>
    <xf numFmtId="0" fontId="35" fillId="0" borderId="2" xfId="28" applyFont="1" applyFill="1" applyBorder="1" applyAlignment="1">
      <alignment vertical="center" wrapText="1"/>
    </xf>
    <xf numFmtId="1" fontId="35" fillId="0" borderId="2" xfId="1" quotePrefix="1" applyNumberFormat="1" applyFont="1" applyFill="1" applyBorder="1" applyAlignment="1">
      <alignment horizontal="center" vertical="center" wrapText="1"/>
    </xf>
    <xf numFmtId="1" fontId="36" fillId="0" borderId="2" xfId="1" applyNumberFormat="1" applyFont="1" applyFill="1" applyBorder="1" applyAlignment="1">
      <alignment horizontal="center" vertical="center"/>
    </xf>
    <xf numFmtId="247" fontId="35" fillId="0" borderId="2" xfId="4260" quotePrefix="1" applyNumberFormat="1" applyFont="1" applyFill="1" applyBorder="1" applyAlignment="1">
      <alignment horizontal="center" vertical="center" wrapText="1"/>
    </xf>
    <xf numFmtId="247" fontId="35" fillId="0" borderId="15" xfId="4260" applyNumberFormat="1" applyFont="1" applyFill="1" applyBorder="1" applyAlignment="1">
      <alignment horizontal="center" vertical="center" wrapText="1"/>
    </xf>
    <xf numFmtId="0" fontId="35" fillId="0" borderId="2" xfId="2678" applyNumberFormat="1" applyFont="1" applyFill="1" applyBorder="1" applyAlignment="1">
      <alignment vertical="center" wrapText="1"/>
    </xf>
    <xf numFmtId="3" fontId="35" fillId="0" borderId="2" xfId="3" quotePrefix="1" applyNumberFormat="1" applyFont="1" applyFill="1" applyBorder="1" applyAlignment="1">
      <alignment horizontal="center" vertical="center" wrapText="1"/>
    </xf>
    <xf numFmtId="0" fontId="35" fillId="0" borderId="2" xfId="4274" applyNumberFormat="1" applyFont="1" applyFill="1" applyBorder="1" applyAlignment="1">
      <alignment vertical="center" wrapText="1"/>
    </xf>
    <xf numFmtId="0" fontId="33" fillId="0" borderId="2" xfId="2678" applyNumberFormat="1" applyFont="1" applyFill="1" applyBorder="1" applyAlignment="1">
      <alignment vertical="center" wrapText="1"/>
    </xf>
    <xf numFmtId="0" fontId="33" fillId="0" borderId="2" xfId="2678" applyFont="1" applyFill="1" applyBorder="1" applyAlignment="1">
      <alignment horizontal="center" vertical="center"/>
    </xf>
    <xf numFmtId="247" fontId="33" fillId="0" borderId="2" xfId="4260" quotePrefix="1" applyNumberFormat="1" applyFont="1" applyFill="1" applyBorder="1" applyAlignment="1">
      <alignment horizontal="center" vertical="center" wrapText="1"/>
    </xf>
    <xf numFmtId="247" fontId="36" fillId="0" borderId="2" xfId="4260" applyNumberFormat="1" applyFont="1" applyFill="1" applyBorder="1" applyAlignment="1">
      <alignment horizontal="right" vertical="center" wrapText="1"/>
    </xf>
    <xf numFmtId="1" fontId="36" fillId="0" borderId="2" xfId="1" applyNumberFormat="1" applyFont="1" applyFill="1" applyBorder="1" applyAlignment="1">
      <alignment vertical="center"/>
    </xf>
    <xf numFmtId="0" fontId="5" fillId="0" borderId="2" xfId="2678" applyNumberFormat="1" applyFont="1" applyFill="1" applyBorder="1" applyAlignment="1">
      <alignment vertical="center" wrapText="1"/>
    </xf>
    <xf numFmtId="178" fontId="5" fillId="0" borderId="2" xfId="1776" applyNumberFormat="1" applyFont="1" applyFill="1" applyBorder="1" applyAlignment="1">
      <alignment horizontal="left" vertical="center"/>
    </xf>
    <xf numFmtId="0" fontId="35" fillId="0" borderId="0" xfId="2678" applyNumberFormat="1" applyFont="1" applyFill="1" applyBorder="1" applyAlignment="1">
      <alignment vertical="center" wrapText="1"/>
    </xf>
    <xf numFmtId="1" fontId="5" fillId="0" borderId="2" xfId="1" applyNumberFormat="1" applyFont="1" applyFill="1" applyBorder="1" applyAlignment="1">
      <alignment horizontal="center" vertical="center"/>
    </xf>
    <xf numFmtId="1" fontId="35" fillId="0" borderId="2" xfId="3" applyNumberFormat="1" applyFont="1" applyFill="1" applyBorder="1" applyAlignment="1">
      <alignment horizontal="left" vertical="center" wrapText="1"/>
    </xf>
    <xf numFmtId="1" fontId="35" fillId="0" borderId="2" xfId="3" applyNumberFormat="1" applyFont="1" applyFill="1" applyBorder="1" applyAlignment="1">
      <alignment horizontal="center" vertical="center" wrapText="1"/>
    </xf>
    <xf numFmtId="247" fontId="35" fillId="0" borderId="2" xfId="4260" applyNumberFormat="1" applyFont="1" applyFill="1" applyBorder="1" applyAlignment="1">
      <alignment horizontal="right" vertical="center" wrapText="1" shrinkToFit="1"/>
    </xf>
    <xf numFmtId="1" fontId="5" fillId="0" borderId="2" xfId="3" applyNumberFormat="1" applyFont="1" applyFill="1" applyBorder="1" applyAlignment="1">
      <alignment horizontal="center" vertical="center" wrapText="1"/>
    </xf>
    <xf numFmtId="247" fontId="5" fillId="0" borderId="2" xfId="4260" applyNumberFormat="1" applyFont="1" applyFill="1" applyBorder="1" applyAlignment="1">
      <alignment horizontal="right" vertical="center" wrapText="1" shrinkToFit="1"/>
    </xf>
    <xf numFmtId="0" fontId="35" fillId="0" borderId="2" xfId="2678" applyFont="1" applyFill="1" applyBorder="1" applyAlignment="1">
      <alignment horizontal="center" vertical="center" wrapText="1"/>
    </xf>
    <xf numFmtId="0" fontId="35" fillId="0" borderId="2" xfId="2606" applyFont="1" applyFill="1" applyBorder="1" applyAlignment="1">
      <alignment vertical="center" wrapText="1"/>
    </xf>
    <xf numFmtId="0" fontId="35" fillId="50" borderId="2" xfId="2678" applyFont="1" applyFill="1" applyBorder="1" applyAlignment="1">
      <alignment horizontal="center" vertical="center" wrapText="1"/>
    </xf>
    <xf numFmtId="0" fontId="35" fillId="50" borderId="2" xfId="2606" applyFont="1" applyFill="1" applyBorder="1" applyAlignment="1">
      <alignment vertical="center" wrapText="1"/>
    </xf>
    <xf numFmtId="1" fontId="35" fillId="50" borderId="2" xfId="1" applyNumberFormat="1" applyFont="1" applyFill="1" applyBorder="1" applyAlignment="1">
      <alignment horizontal="center" vertical="center" wrapText="1"/>
    </xf>
    <xf numFmtId="247" fontId="35" fillId="50" borderId="2" xfId="4260" applyNumberFormat="1" applyFont="1" applyFill="1" applyBorder="1" applyAlignment="1">
      <alignment horizontal="center" vertical="center" wrapText="1"/>
    </xf>
    <xf numFmtId="247" fontId="35" fillId="50" borderId="2" xfId="4260" quotePrefix="1" applyNumberFormat="1" applyFont="1" applyFill="1" applyBorder="1" applyAlignment="1">
      <alignment horizontal="right" vertical="center" wrapText="1"/>
    </xf>
    <xf numFmtId="247" fontId="35" fillId="50" borderId="2" xfId="4260" applyNumberFormat="1" applyFont="1" applyFill="1" applyBorder="1" applyAlignment="1">
      <alignment horizontal="right" vertical="center" wrapText="1"/>
    </xf>
    <xf numFmtId="178" fontId="35" fillId="50" borderId="2" xfId="1776" applyNumberFormat="1" applyFont="1" applyFill="1" applyBorder="1" applyAlignment="1">
      <alignment horizontal="center" vertical="center" wrapText="1"/>
    </xf>
    <xf numFmtId="3" fontId="35" fillId="50" borderId="2" xfId="1" quotePrefix="1" applyNumberFormat="1" applyFont="1" applyFill="1" applyBorder="1" applyAlignment="1">
      <alignment horizontal="center" vertical="center" wrapText="1"/>
    </xf>
    <xf numFmtId="1" fontId="35" fillId="50" borderId="2" xfId="1" applyNumberFormat="1" applyFont="1" applyFill="1" applyBorder="1" applyAlignment="1">
      <alignment vertical="center"/>
    </xf>
    <xf numFmtId="1" fontId="35" fillId="50" borderId="0" xfId="1" applyNumberFormat="1" applyFont="1" applyFill="1" applyAlignment="1">
      <alignment vertical="center"/>
    </xf>
    <xf numFmtId="3" fontId="35" fillId="50" borderId="0" xfId="1" applyNumberFormat="1" applyFont="1" applyFill="1" applyBorder="1" applyAlignment="1">
      <alignment horizontal="center" vertical="center" wrapText="1"/>
    </xf>
    <xf numFmtId="2" fontId="36" fillId="0" borderId="0" xfId="1" applyNumberFormat="1" applyFont="1" applyFill="1" applyAlignment="1">
      <alignment vertical="center"/>
    </xf>
    <xf numFmtId="49" fontId="35" fillId="0" borderId="2" xfId="28" applyNumberFormat="1" applyFont="1" applyFill="1" applyBorder="1" applyAlignment="1">
      <alignment vertical="center" wrapText="1"/>
    </xf>
    <xf numFmtId="247" fontId="35" fillId="0" borderId="2" xfId="2678" applyNumberFormat="1" applyFont="1" applyFill="1" applyBorder="1" applyAlignment="1">
      <alignment horizontal="center" vertical="center" wrapText="1"/>
    </xf>
    <xf numFmtId="49" fontId="35" fillId="0" borderId="2" xfId="28" applyNumberFormat="1" applyFont="1" applyFill="1" applyBorder="1" applyAlignment="1">
      <alignment horizontal="center" vertical="center" wrapText="1"/>
    </xf>
    <xf numFmtId="1" fontId="35" fillId="0" borderId="2" xfId="1" applyNumberFormat="1" applyFont="1" applyFill="1" applyBorder="1" applyAlignment="1">
      <alignment vertical="center" wrapText="1"/>
    </xf>
    <xf numFmtId="0" fontId="35" fillId="0" borderId="2" xfId="0" applyFont="1" applyFill="1" applyBorder="1" applyAlignment="1">
      <alignment horizontal="center" vertical="center" wrapText="1"/>
    </xf>
    <xf numFmtId="247" fontId="35" fillId="0" borderId="2" xfId="0" applyNumberFormat="1" applyFont="1" applyFill="1" applyBorder="1" applyAlignment="1">
      <alignment horizontal="center" vertical="center" wrapText="1"/>
    </xf>
    <xf numFmtId="247" fontId="33" fillId="0" borderId="2" xfId="4260" applyNumberFormat="1" applyFont="1" applyFill="1" applyBorder="1" applyAlignment="1">
      <alignment horizontal="right" vertical="center" wrapText="1"/>
    </xf>
    <xf numFmtId="178" fontId="33" fillId="0" borderId="2" xfId="1776" applyNumberFormat="1" applyFont="1" applyFill="1" applyBorder="1" applyAlignment="1">
      <alignment horizontal="center" vertical="center" wrapText="1"/>
    </xf>
    <xf numFmtId="0" fontId="35" fillId="0" borderId="2" xfId="4274"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5" fillId="0" borderId="2" xfId="4265" applyFont="1" applyFill="1" applyBorder="1" applyAlignment="1">
      <alignment vertical="center" wrapText="1"/>
    </xf>
    <xf numFmtId="1" fontId="35" fillId="0" borderId="8" xfId="1" applyNumberFormat="1" applyFont="1" applyFill="1" applyBorder="1" applyAlignment="1">
      <alignment horizontal="center" vertical="center" wrapText="1"/>
    </xf>
    <xf numFmtId="0" fontId="35" fillId="0" borderId="2" xfId="4274" applyFont="1" applyFill="1" applyBorder="1" applyAlignment="1">
      <alignment vertical="center" wrapText="1"/>
    </xf>
    <xf numFmtId="178" fontId="5" fillId="0" borderId="2" xfId="1618" applyNumberFormat="1" applyFont="1" applyFill="1" applyBorder="1" applyAlignment="1">
      <alignment horizontal="center" vertical="center" wrapText="1"/>
    </xf>
    <xf numFmtId="0" fontId="5" fillId="0" borderId="2" xfId="28" applyNumberFormat="1" applyFont="1" applyFill="1" applyBorder="1" applyAlignment="1">
      <alignment horizontal="center" vertical="center" wrapText="1"/>
    </xf>
    <xf numFmtId="0" fontId="35" fillId="0" borderId="2" xfId="2608" applyFont="1" applyFill="1" applyBorder="1" applyAlignment="1">
      <alignment vertical="center" wrapText="1"/>
    </xf>
    <xf numFmtId="0" fontId="35" fillId="0" borderId="2" xfId="28" applyNumberFormat="1" applyFont="1" applyFill="1" applyBorder="1" applyAlignment="1">
      <alignment horizontal="center" vertical="center" wrapText="1"/>
    </xf>
    <xf numFmtId="247" fontId="35" fillId="0" borderId="0" xfId="4260" applyNumberFormat="1" applyFont="1" applyFill="1" applyAlignment="1">
      <alignment horizontal="right" vertical="center" wrapText="1"/>
    </xf>
    <xf numFmtId="247" fontId="35" fillId="0" borderId="16" xfId="4260" applyNumberFormat="1" applyFont="1" applyFill="1" applyBorder="1" applyAlignment="1">
      <alignment horizontal="right" vertical="center" wrapText="1"/>
    </xf>
    <xf numFmtId="1" fontId="33" fillId="0" borderId="2" xfId="1" quotePrefix="1" applyNumberFormat="1" applyFont="1" applyFill="1" applyBorder="1" applyAlignment="1">
      <alignment horizontal="center" vertical="center" wrapText="1"/>
    </xf>
    <xf numFmtId="1" fontId="35" fillId="0" borderId="2" xfId="1" quotePrefix="1" applyNumberFormat="1" applyFont="1" applyFill="1" applyBorder="1" applyAlignment="1">
      <alignment vertical="center" wrapText="1"/>
    </xf>
    <xf numFmtId="49" fontId="35" fillId="0" borderId="2" xfId="1" applyNumberFormat="1" applyFont="1" applyFill="1" applyBorder="1" applyAlignment="1">
      <alignment horizontal="center" vertical="center"/>
    </xf>
    <xf numFmtId="0" fontId="35" fillId="0" borderId="2" xfId="0" applyFont="1" applyFill="1" applyBorder="1" applyAlignment="1">
      <alignment horizontal="left" vertical="center" wrapText="1"/>
    </xf>
    <xf numFmtId="49" fontId="33" fillId="0" borderId="2" xfId="1" quotePrefix="1" applyNumberFormat="1" applyFont="1" applyFill="1" applyBorder="1" applyAlignment="1">
      <alignment horizontal="center" vertical="center"/>
    </xf>
    <xf numFmtId="247" fontId="35" fillId="0" borderId="7" xfId="4260" quotePrefix="1" applyNumberFormat="1" applyFont="1" applyFill="1" applyBorder="1" applyAlignment="1">
      <alignment horizontal="right" vertical="center" wrapText="1"/>
    </xf>
    <xf numFmtId="3" fontId="35" fillId="0" borderId="2" xfId="3" quotePrefix="1" applyNumberFormat="1" applyFont="1" applyFill="1" applyBorder="1" applyAlignment="1">
      <alignment vertical="center" wrapText="1"/>
    </xf>
    <xf numFmtId="3" fontId="35" fillId="0" borderId="2" xfId="4264" applyNumberFormat="1" applyFont="1" applyFill="1" applyBorder="1" applyAlignment="1">
      <alignment horizontal="right" vertical="center" shrinkToFit="1"/>
    </xf>
    <xf numFmtId="0" fontId="35" fillId="0" borderId="2" xfId="28" applyFont="1" applyFill="1" applyBorder="1" applyAlignment="1">
      <alignment horizontal="center" vertical="center" wrapText="1"/>
    </xf>
    <xf numFmtId="0" fontId="35" fillId="50" borderId="2" xfId="28" applyFont="1" applyFill="1" applyBorder="1" applyAlignment="1">
      <alignment horizontal="center" vertical="center" wrapText="1"/>
    </xf>
    <xf numFmtId="279" fontId="35" fillId="0" borderId="2" xfId="1" applyNumberFormat="1" applyFont="1" applyFill="1" applyBorder="1" applyAlignment="1">
      <alignment horizontal="center" vertical="center" wrapText="1"/>
    </xf>
    <xf numFmtId="0" fontId="5" fillId="0" borderId="2" xfId="2608" applyFont="1" applyFill="1" applyBorder="1" applyAlignment="1">
      <alignment vertical="center" wrapText="1"/>
    </xf>
    <xf numFmtId="3" fontId="5" fillId="0" borderId="2" xfId="3" quotePrefix="1" applyNumberFormat="1" applyFont="1" applyFill="1" applyBorder="1" applyAlignment="1">
      <alignment horizontal="center" vertical="center" wrapText="1"/>
    </xf>
    <xf numFmtId="3" fontId="35" fillId="0" borderId="2" xfId="28" applyNumberFormat="1" applyFont="1" applyFill="1" applyBorder="1" applyAlignment="1">
      <alignment horizontal="left" vertical="center" wrapText="1"/>
    </xf>
    <xf numFmtId="3" fontId="35" fillId="0" borderId="2" xfId="0" applyNumberFormat="1" applyFont="1" applyFill="1" applyBorder="1" applyAlignment="1">
      <alignment horizontal="center" vertical="center" wrapText="1"/>
    </xf>
    <xf numFmtId="3" fontId="35" fillId="0" borderId="2" xfId="1149" applyNumberFormat="1" applyFont="1" applyFill="1" applyBorder="1" applyAlignment="1">
      <alignment horizontal="center" vertical="center" wrapText="1"/>
    </xf>
    <xf numFmtId="1" fontId="35" fillId="0" borderId="0" xfId="1" applyNumberFormat="1" applyFont="1" applyFill="1" applyAlignment="1">
      <alignment horizontal="left" vertical="center"/>
    </xf>
    <xf numFmtId="49" fontId="35" fillId="0" borderId="2" xfId="0" applyNumberFormat="1"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0" fontId="35" fillId="0" borderId="2" xfId="2606" applyFont="1" applyFill="1" applyBorder="1" applyAlignment="1">
      <alignment horizontal="center" vertical="center" wrapText="1"/>
    </xf>
    <xf numFmtId="0" fontId="35" fillId="0" borderId="2" xfId="4263" quotePrefix="1" applyFont="1" applyFill="1" applyBorder="1" applyAlignment="1">
      <alignment horizontal="center" vertical="center" wrapText="1"/>
    </xf>
    <xf numFmtId="0" fontId="35" fillId="0" borderId="2" xfId="4263" applyFont="1" applyFill="1" applyBorder="1" applyAlignment="1">
      <alignment horizontal="left" vertical="center" wrapText="1"/>
    </xf>
    <xf numFmtId="247" fontId="35" fillId="0" borderId="0" xfId="4260" applyNumberFormat="1" applyFont="1" applyFill="1" applyAlignment="1">
      <alignment horizontal="center" vertical="center" wrapText="1"/>
    </xf>
    <xf numFmtId="0" fontId="35" fillId="0" borderId="2" xfId="0" applyFont="1" applyFill="1" applyBorder="1" applyAlignment="1">
      <alignment horizontal="center" wrapText="1"/>
    </xf>
    <xf numFmtId="1" fontId="33" fillId="0" borderId="6" xfId="1" applyNumberFormat="1" applyFont="1" applyFill="1" applyBorder="1" applyAlignment="1">
      <alignment vertical="center" wrapText="1"/>
    </xf>
    <xf numFmtId="0" fontId="35" fillId="0" borderId="3" xfId="4263" quotePrefix="1" applyFont="1" applyFill="1" applyBorder="1" applyAlignment="1">
      <alignment horizontal="center" vertical="center" wrapText="1"/>
    </xf>
    <xf numFmtId="1" fontId="35" fillId="0" borderId="5" xfId="1" applyNumberFormat="1" applyFont="1" applyFill="1" applyBorder="1" applyAlignment="1">
      <alignment horizontal="center" vertical="center" wrapText="1"/>
    </xf>
    <xf numFmtId="3" fontId="35" fillId="0" borderId="7" xfId="4268" applyNumberFormat="1" applyFont="1" applyFill="1" applyBorder="1" applyAlignment="1">
      <alignment vertical="center" wrapText="1"/>
    </xf>
    <xf numFmtId="3" fontId="35" fillId="0" borderId="2" xfId="1" applyNumberFormat="1" applyFont="1" applyFill="1" applyBorder="1" applyAlignment="1">
      <alignment horizontal="left" vertical="center" wrapText="1"/>
    </xf>
    <xf numFmtId="2" fontId="35" fillId="0" borderId="2" xfId="4268" applyNumberFormat="1" applyFont="1" applyFill="1" applyBorder="1" applyAlignment="1">
      <alignment vertical="center" wrapText="1"/>
    </xf>
    <xf numFmtId="178" fontId="35" fillId="0" borderId="2" xfId="28" applyNumberFormat="1" applyFont="1" applyFill="1" applyBorder="1" applyAlignment="1">
      <alignment horizontal="left" vertical="center" wrapText="1"/>
    </xf>
    <xf numFmtId="178" fontId="35" fillId="0" borderId="2" xfId="4269" applyNumberFormat="1" applyFont="1" applyFill="1" applyBorder="1" applyAlignment="1">
      <alignment horizontal="center" vertical="center" wrapText="1"/>
    </xf>
    <xf numFmtId="1" fontId="5" fillId="0" borderId="2" xfId="1" quotePrefix="1" applyNumberFormat="1" applyFont="1" applyFill="1" applyBorder="1" applyAlignment="1">
      <alignment horizontal="center" vertical="center" wrapText="1"/>
    </xf>
    <xf numFmtId="1" fontId="35" fillId="0" borderId="2" xfId="0" applyNumberFormat="1" applyFont="1" applyFill="1" applyBorder="1" applyAlignment="1">
      <alignment horizontal="center" vertical="center" wrapText="1"/>
    </xf>
    <xf numFmtId="178" fontId="5" fillId="0" borderId="2" xfId="1618" quotePrefix="1" applyNumberFormat="1" applyFont="1" applyFill="1" applyBorder="1" applyAlignment="1">
      <alignment horizontal="center" vertical="center" wrapText="1"/>
    </xf>
    <xf numFmtId="169" fontId="5" fillId="0" borderId="2" xfId="1618" applyFont="1" applyFill="1" applyBorder="1" applyAlignment="1">
      <alignment horizontal="center" vertical="center"/>
    </xf>
    <xf numFmtId="0" fontId="35" fillId="0" borderId="2" xfId="4274" applyFont="1" applyFill="1" applyBorder="1" applyAlignment="1">
      <alignment horizontal="center" vertical="center" wrapText="1"/>
    </xf>
    <xf numFmtId="178" fontId="35" fillId="0" borderId="2" xfId="1635" applyNumberFormat="1" applyFont="1" applyFill="1" applyBorder="1" applyAlignment="1">
      <alignment horizontal="center" vertical="center"/>
    </xf>
    <xf numFmtId="178" fontId="35" fillId="0" borderId="2" xfId="28" applyNumberFormat="1" applyFont="1" applyFill="1" applyBorder="1" applyAlignment="1">
      <alignment horizontal="center" vertical="center" wrapText="1"/>
    </xf>
    <xf numFmtId="3" fontId="35" fillId="0" borderId="2" xfId="4275" applyNumberFormat="1" applyFont="1" applyFill="1" applyBorder="1" applyAlignment="1">
      <alignment horizontal="right" vertical="center" wrapText="1"/>
    </xf>
    <xf numFmtId="247" fontId="36" fillId="0" borderId="0" xfId="4260" applyNumberFormat="1" applyFont="1" applyFill="1" applyAlignment="1">
      <alignment horizontal="right" vertical="center" wrapText="1"/>
    </xf>
    <xf numFmtId="3" fontId="35" fillId="0" borderId="2" xfId="3" quotePrefix="1" applyNumberFormat="1" applyFont="1" applyFill="1" applyBorder="1" applyAlignment="1">
      <alignment horizontal="right" vertical="center" wrapText="1"/>
    </xf>
    <xf numFmtId="3" fontId="35" fillId="0" borderId="2" xfId="28" applyNumberFormat="1" applyFont="1" applyFill="1" applyBorder="1" applyAlignment="1">
      <alignment horizontal="center" vertical="center" wrapText="1"/>
    </xf>
    <xf numFmtId="0" fontId="5" fillId="0" borderId="6" xfId="28" applyFont="1" applyFill="1" applyBorder="1" applyAlignment="1">
      <alignment horizontal="center" vertical="center" wrapText="1"/>
    </xf>
    <xf numFmtId="247" fontId="35" fillId="0" borderId="6" xfId="4260" quotePrefix="1" applyNumberFormat="1" applyFont="1" applyFill="1" applyBorder="1" applyAlignment="1">
      <alignment horizontal="right" vertical="center" wrapText="1"/>
    </xf>
    <xf numFmtId="0" fontId="35" fillId="0" borderId="6" xfId="28" applyFont="1" applyFill="1" applyBorder="1" applyAlignment="1">
      <alignment horizontal="center" vertical="center" wrapText="1"/>
    </xf>
    <xf numFmtId="1" fontId="5" fillId="0" borderId="2" xfId="1" quotePrefix="1" applyNumberFormat="1" applyFont="1" applyFill="1" applyBorder="1" applyAlignment="1">
      <alignment vertical="center" wrapText="1"/>
    </xf>
    <xf numFmtId="0" fontId="5" fillId="50" borderId="2" xfId="2678" applyFont="1" applyFill="1" applyBorder="1" applyAlignment="1">
      <alignment horizontal="center" vertical="center" wrapText="1"/>
    </xf>
    <xf numFmtId="0" fontId="5" fillId="50" borderId="2" xfId="2608" applyFont="1" applyFill="1" applyBorder="1" applyAlignment="1">
      <alignment vertical="center" wrapText="1"/>
    </xf>
    <xf numFmtId="1" fontId="5" fillId="50" borderId="2" xfId="1" applyNumberFormat="1" applyFont="1" applyFill="1" applyBorder="1" applyAlignment="1">
      <alignment horizontal="center" vertical="center" wrapText="1"/>
    </xf>
    <xf numFmtId="3" fontId="5" fillId="50" borderId="2" xfId="1" quotePrefix="1" applyNumberFormat="1" applyFont="1" applyFill="1" applyBorder="1" applyAlignment="1">
      <alignment vertical="center" wrapText="1"/>
    </xf>
    <xf numFmtId="247" fontId="5" fillId="50" borderId="2" xfId="4260" applyNumberFormat="1" applyFont="1" applyFill="1" applyBorder="1" applyAlignment="1">
      <alignment horizontal="center" vertical="center" wrapText="1"/>
    </xf>
    <xf numFmtId="247" fontId="5" fillId="50" borderId="2" xfId="4260" quotePrefix="1" applyNumberFormat="1" applyFont="1" applyFill="1" applyBorder="1" applyAlignment="1">
      <alignment horizontal="right" vertical="center" wrapText="1"/>
    </xf>
    <xf numFmtId="3" fontId="5" fillId="50" borderId="2" xfId="1" quotePrefix="1" applyNumberFormat="1" applyFont="1" applyFill="1" applyBorder="1" applyAlignment="1">
      <alignment horizontal="center" vertical="center" wrapText="1"/>
    </xf>
    <xf numFmtId="1" fontId="5" fillId="50" borderId="2" xfId="1" applyNumberFormat="1" applyFont="1" applyFill="1" applyBorder="1" applyAlignment="1">
      <alignment vertical="center"/>
    </xf>
    <xf numFmtId="1" fontId="5" fillId="50" borderId="0" xfId="1" applyNumberFormat="1" applyFont="1" applyFill="1" applyAlignment="1">
      <alignment vertical="center"/>
    </xf>
    <xf numFmtId="49" fontId="5" fillId="50" borderId="2" xfId="1" quotePrefix="1" applyNumberFormat="1" applyFont="1" applyFill="1" applyBorder="1" applyAlignment="1">
      <alignment horizontal="center" vertical="center"/>
    </xf>
    <xf numFmtId="1" fontId="5" fillId="50" borderId="2" xfId="1" applyNumberFormat="1" applyFont="1" applyFill="1" applyBorder="1" applyAlignment="1">
      <alignment vertical="center" wrapText="1"/>
    </xf>
    <xf numFmtId="1" fontId="33" fillId="50" borderId="2" xfId="1" applyNumberFormat="1" applyFont="1" applyFill="1" applyBorder="1" applyAlignment="1">
      <alignment horizontal="center" vertical="center" wrapText="1"/>
    </xf>
    <xf numFmtId="247" fontId="33" fillId="50" borderId="2" xfId="4260" applyNumberFormat="1" applyFont="1" applyFill="1" applyBorder="1" applyAlignment="1">
      <alignment horizontal="center" vertical="center" wrapText="1"/>
    </xf>
    <xf numFmtId="1" fontId="33" fillId="50" borderId="2" xfId="1" applyNumberFormat="1" applyFont="1" applyFill="1" applyBorder="1" applyAlignment="1">
      <alignment horizontal="center" vertical="center"/>
    </xf>
    <xf numFmtId="1" fontId="33" fillId="50" borderId="2" xfId="1" applyNumberFormat="1" applyFont="1" applyFill="1" applyBorder="1" applyAlignment="1">
      <alignment vertical="center"/>
    </xf>
    <xf numFmtId="1" fontId="33" fillId="50" borderId="0" xfId="1" applyNumberFormat="1" applyFont="1" applyFill="1" applyAlignment="1">
      <alignment vertical="center"/>
    </xf>
    <xf numFmtId="3" fontId="35" fillId="50" borderId="2" xfId="1" applyNumberFormat="1" applyFont="1" applyFill="1" applyBorder="1" applyAlignment="1">
      <alignment horizontal="center" vertical="center" wrapText="1"/>
    </xf>
    <xf numFmtId="178" fontId="35" fillId="50" borderId="2" xfId="1776" applyNumberFormat="1" applyFont="1" applyFill="1" applyBorder="1" applyAlignment="1">
      <alignment vertical="center" wrapText="1"/>
    </xf>
    <xf numFmtId="247" fontId="35" fillId="50" borderId="2" xfId="4260" quotePrefix="1" applyNumberFormat="1" applyFont="1" applyFill="1" applyBorder="1" applyAlignment="1">
      <alignment horizontal="center" vertical="center" wrapText="1"/>
    </xf>
    <xf numFmtId="1" fontId="35" fillId="50" borderId="2" xfId="1" applyNumberFormat="1" applyFont="1" applyFill="1" applyBorder="1" applyAlignment="1">
      <alignment horizontal="center" vertical="center"/>
    </xf>
    <xf numFmtId="49" fontId="5" fillId="50" borderId="2" xfId="1" applyNumberFormat="1" applyFont="1" applyFill="1" applyBorder="1" applyAlignment="1">
      <alignment horizontal="center" vertical="center"/>
    </xf>
    <xf numFmtId="3" fontId="33" fillId="50" borderId="2" xfId="1" quotePrefix="1" applyNumberFormat="1" applyFont="1" applyFill="1" applyBorder="1" applyAlignment="1">
      <alignment horizontal="center" vertical="center" wrapText="1"/>
    </xf>
    <xf numFmtId="247" fontId="33" fillId="50" borderId="2" xfId="4260" quotePrefix="1" applyNumberFormat="1" applyFont="1" applyFill="1" applyBorder="1" applyAlignment="1">
      <alignment horizontal="center" vertical="center" wrapText="1"/>
    </xf>
    <xf numFmtId="247" fontId="33" fillId="50" borderId="2" xfId="4260" quotePrefix="1" applyNumberFormat="1" applyFont="1" applyFill="1" applyBorder="1" applyAlignment="1">
      <alignment horizontal="right" vertical="center" wrapText="1"/>
    </xf>
    <xf numFmtId="49" fontId="33" fillId="50" borderId="2" xfId="1" applyNumberFormat="1" applyFont="1" applyFill="1" applyBorder="1" applyAlignment="1">
      <alignment horizontal="center" vertical="center"/>
    </xf>
    <xf numFmtId="1" fontId="33" fillId="50" borderId="2" xfId="1" applyNumberFormat="1" applyFont="1" applyFill="1" applyBorder="1" applyAlignment="1">
      <alignment vertical="center" wrapText="1"/>
    </xf>
    <xf numFmtId="0" fontId="35" fillId="50" borderId="2" xfId="2678" quotePrefix="1" applyFont="1" applyFill="1" applyBorder="1" applyAlignment="1">
      <alignment horizontal="center" vertical="center" wrapText="1"/>
    </xf>
    <xf numFmtId="247" fontId="5" fillId="50" borderId="2" xfId="4260" quotePrefix="1" applyNumberFormat="1" applyFont="1" applyFill="1" applyBorder="1" applyAlignment="1">
      <alignment horizontal="center" vertical="center" wrapText="1"/>
    </xf>
    <xf numFmtId="247" fontId="5" fillId="50" borderId="2" xfId="4260" applyNumberFormat="1" applyFont="1" applyFill="1" applyBorder="1" applyAlignment="1">
      <alignment horizontal="right" vertical="center" wrapText="1"/>
    </xf>
    <xf numFmtId="178" fontId="5" fillId="50" borderId="2" xfId="1776" applyNumberFormat="1" applyFont="1" applyFill="1" applyBorder="1" applyAlignment="1">
      <alignment horizontal="center" vertical="center" wrapText="1"/>
    </xf>
    <xf numFmtId="1" fontId="5" fillId="50" borderId="2" xfId="1" applyNumberFormat="1" applyFont="1" applyFill="1" applyBorder="1" applyAlignment="1">
      <alignment horizontal="center" vertical="center"/>
    </xf>
    <xf numFmtId="0" fontId="35" fillId="50" borderId="2" xfId="2607" applyFont="1" applyFill="1" applyBorder="1" applyAlignment="1">
      <alignment vertical="center" wrapText="1"/>
    </xf>
    <xf numFmtId="0" fontId="35" fillId="50" borderId="2" xfId="2678" applyFont="1" applyFill="1" applyBorder="1" applyAlignment="1">
      <alignment horizontal="center" vertical="center"/>
    </xf>
    <xf numFmtId="49" fontId="33" fillId="50" borderId="2" xfId="1" quotePrefix="1" applyNumberFormat="1" applyFont="1" applyFill="1" applyBorder="1" applyAlignment="1">
      <alignment horizontal="center" vertical="center"/>
    </xf>
    <xf numFmtId="1" fontId="33" fillId="50" borderId="2" xfId="1" quotePrefix="1" applyNumberFormat="1" applyFont="1" applyFill="1" applyBorder="1" applyAlignment="1">
      <alignment horizontal="center" vertical="center" wrapText="1"/>
    </xf>
    <xf numFmtId="247" fontId="33" fillId="50" borderId="2" xfId="4260" applyNumberFormat="1" applyFont="1" applyFill="1" applyBorder="1" applyAlignment="1">
      <alignment horizontal="right" vertical="center" wrapText="1"/>
    </xf>
    <xf numFmtId="1" fontId="33" fillId="50" borderId="2" xfId="1" applyNumberFormat="1" applyFont="1" applyFill="1" applyBorder="1" applyAlignment="1">
      <alignment horizontal="right" vertical="center"/>
    </xf>
    <xf numFmtId="1" fontId="33" fillId="50" borderId="0" xfId="1" applyNumberFormat="1" applyFont="1" applyFill="1" applyBorder="1" applyAlignment="1">
      <alignment horizontal="right" vertical="center"/>
    </xf>
    <xf numFmtId="0" fontId="35" fillId="0" borderId="2" xfId="2607" applyFont="1" applyFill="1" applyBorder="1" applyAlignment="1">
      <alignment vertical="center" wrapText="1"/>
    </xf>
    <xf numFmtId="0" fontId="5" fillId="0" borderId="2" xfId="2607" applyFont="1" applyFill="1" applyBorder="1" applyAlignment="1">
      <alignment vertical="center" wrapText="1"/>
    </xf>
    <xf numFmtId="1" fontId="5" fillId="0" borderId="0" xfId="1" applyNumberFormat="1" applyFont="1" applyFill="1" applyAlignment="1">
      <alignment horizontal="right" vertical="center" wrapText="1"/>
    </xf>
    <xf numFmtId="3" fontId="33" fillId="0" borderId="2" xfId="1811" applyNumberFormat="1" applyFont="1" applyFill="1" applyBorder="1" applyAlignment="1">
      <alignment horizontal="right" vertical="center" wrapText="1"/>
    </xf>
    <xf numFmtId="3" fontId="5" fillId="0" borderId="2" xfId="3" quotePrefix="1" applyNumberFormat="1" applyFont="1" applyFill="1" applyBorder="1" applyAlignment="1">
      <alignment vertical="center" wrapText="1"/>
    </xf>
    <xf numFmtId="3" fontId="35" fillId="0" borderId="2" xfId="0" applyNumberFormat="1" applyFont="1" applyFill="1" applyBorder="1" applyAlignment="1">
      <alignment horizontal="right" vertical="center"/>
    </xf>
    <xf numFmtId="247" fontId="35" fillId="0" borderId="8" xfId="4260" applyNumberFormat="1" applyFont="1" applyFill="1" applyBorder="1" applyAlignment="1">
      <alignment horizontal="right" vertical="center" wrapText="1"/>
    </xf>
    <xf numFmtId="3" fontId="5" fillId="0" borderId="2" xfId="3" quotePrefix="1" applyNumberFormat="1" applyFont="1" applyFill="1" applyBorder="1" applyAlignment="1">
      <alignment horizontal="right" vertical="center" wrapText="1"/>
    </xf>
    <xf numFmtId="178" fontId="35" fillId="0" borderId="2" xfId="1776" applyNumberFormat="1" applyFont="1" applyFill="1" applyBorder="1" applyAlignment="1">
      <alignment horizontal="left" vertical="center"/>
    </xf>
    <xf numFmtId="3" fontId="35" fillId="0" borderId="0" xfId="3" quotePrefix="1" applyNumberFormat="1" applyFont="1" applyFill="1" applyBorder="1" applyAlignment="1">
      <alignment horizontal="right" vertical="center" wrapText="1"/>
    </xf>
    <xf numFmtId="3" fontId="33" fillId="0" borderId="2" xfId="3" applyNumberFormat="1" applyFont="1" applyFill="1" applyBorder="1" applyAlignment="1">
      <alignment horizontal="right" vertical="center"/>
    </xf>
    <xf numFmtId="3" fontId="5" fillId="0" borderId="2" xfId="3" applyNumberFormat="1" applyFont="1" applyFill="1" applyBorder="1" applyAlignment="1">
      <alignment horizontal="right" vertical="center"/>
    </xf>
    <xf numFmtId="178" fontId="35" fillId="0" borderId="2" xfId="1776" applyNumberFormat="1" applyFont="1" applyFill="1" applyBorder="1" applyAlignment="1">
      <alignment horizontal="center" vertical="center"/>
    </xf>
    <xf numFmtId="178" fontId="5" fillId="0" borderId="2" xfId="1776" applyNumberFormat="1" applyFont="1" applyFill="1" applyBorder="1" applyAlignment="1">
      <alignment horizontal="center" vertical="center"/>
    </xf>
    <xf numFmtId="0" fontId="5" fillId="0" borderId="2" xfId="4261" applyFont="1" applyFill="1" applyBorder="1" applyAlignment="1">
      <alignment vertical="center" wrapText="1"/>
    </xf>
    <xf numFmtId="3" fontId="5" fillId="0" borderId="2" xfId="1" applyNumberFormat="1" applyFont="1" applyFill="1" applyBorder="1" applyAlignment="1">
      <alignment horizontal="center" vertical="center" wrapText="1"/>
    </xf>
    <xf numFmtId="3" fontId="5" fillId="0" borderId="2" xfId="3" applyNumberFormat="1" applyFont="1" applyFill="1" applyBorder="1" applyAlignment="1">
      <alignment horizontal="center" vertical="center" wrapText="1"/>
    </xf>
    <xf numFmtId="178" fontId="5" fillId="0" borderId="2" xfId="1776" applyNumberFormat="1" applyFont="1" applyFill="1" applyBorder="1" applyAlignment="1">
      <alignment vertical="center" wrapText="1"/>
    </xf>
    <xf numFmtId="178"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left" vertical="center" shrinkToFit="1"/>
    </xf>
    <xf numFmtId="178" fontId="33" fillId="0" borderId="2" xfId="3" quotePrefix="1" applyNumberFormat="1" applyFont="1" applyFill="1" applyBorder="1" applyAlignment="1">
      <alignment horizontal="center" vertical="center" wrapText="1" shrinkToFit="1"/>
    </xf>
    <xf numFmtId="1" fontId="33" fillId="0" borderId="2" xfId="3" applyNumberFormat="1" applyFont="1" applyFill="1" applyBorder="1" applyAlignment="1">
      <alignment vertical="center" wrapText="1"/>
    </xf>
    <xf numFmtId="3" fontId="33" fillId="0" borderId="2" xfId="3" applyNumberFormat="1" applyFont="1" applyFill="1" applyBorder="1" applyAlignment="1">
      <alignment horizontal="center" vertical="center" wrapText="1"/>
    </xf>
    <xf numFmtId="178" fontId="35" fillId="0" borderId="2" xfId="2565" applyNumberFormat="1" applyFont="1" applyFill="1" applyBorder="1" applyAlignment="1">
      <alignment horizontal="left" vertical="center" wrapText="1"/>
    </xf>
    <xf numFmtId="49" fontId="5" fillId="0" borderId="2" xfId="3" quotePrefix="1" applyNumberFormat="1" applyFont="1" applyFill="1" applyBorder="1" applyAlignment="1">
      <alignment horizontal="center" vertical="center"/>
    </xf>
    <xf numFmtId="178" fontId="35" fillId="0" borderId="2" xfId="3" applyNumberFormat="1" applyFont="1" applyFill="1" applyBorder="1" applyAlignment="1">
      <alignment horizontal="left" vertical="center" wrapText="1"/>
    </xf>
    <xf numFmtId="3" fontId="35" fillId="0" borderId="2" xfId="0" applyNumberFormat="1" applyFont="1" applyFill="1" applyBorder="1" applyAlignment="1">
      <alignment horizontal="right" vertical="center" wrapText="1" shrinkToFit="1"/>
    </xf>
    <xf numFmtId="3" fontId="5" fillId="0" borderId="2" xfId="28" applyNumberFormat="1" applyFont="1" applyFill="1" applyBorder="1" applyAlignment="1">
      <alignment horizontal="center" vertical="center" wrapText="1"/>
    </xf>
    <xf numFmtId="3" fontId="5" fillId="0" borderId="2" xfId="28" applyNumberFormat="1" applyFont="1" applyFill="1" applyBorder="1" applyAlignment="1">
      <alignment horizontal="left" vertical="center" wrapText="1"/>
    </xf>
    <xf numFmtId="3" fontId="35" fillId="0" borderId="2" xfId="28" quotePrefix="1" applyNumberFormat="1" applyFont="1" applyFill="1" applyBorder="1" applyAlignment="1">
      <alignment horizontal="center" vertical="center" wrapText="1"/>
    </xf>
    <xf numFmtId="1" fontId="5" fillId="0" borderId="2" xfId="3" applyNumberFormat="1" applyFont="1" applyFill="1" applyBorder="1" applyAlignment="1">
      <alignment vertical="center" wrapText="1"/>
    </xf>
    <xf numFmtId="247" fontId="5" fillId="0" borderId="0" xfId="4260" applyNumberFormat="1" applyFont="1" applyFill="1" applyAlignment="1">
      <alignment horizontal="center" vertical="center" wrapText="1"/>
    </xf>
    <xf numFmtId="247" fontId="5" fillId="0" borderId="7" xfId="4260" quotePrefix="1" applyNumberFormat="1" applyFont="1" applyFill="1" applyBorder="1" applyAlignment="1">
      <alignment horizontal="right" vertical="center" wrapText="1"/>
    </xf>
    <xf numFmtId="3" fontId="5" fillId="0" borderId="7" xfId="3" applyNumberFormat="1" applyFont="1" applyFill="1" applyBorder="1" applyAlignment="1">
      <alignment horizontal="center" vertical="center" wrapText="1"/>
    </xf>
    <xf numFmtId="1" fontId="5" fillId="0" borderId="2" xfId="3" applyNumberFormat="1" applyFont="1" applyFill="1" applyBorder="1" applyAlignment="1">
      <alignment horizontal="center" vertical="center"/>
    </xf>
    <xf numFmtId="3" fontId="5" fillId="0" borderId="2" xfId="3" applyNumberFormat="1" applyFont="1" applyFill="1" applyBorder="1" applyAlignment="1">
      <alignment horizontal="left" vertical="center" wrapText="1"/>
    </xf>
    <xf numFmtId="235" fontId="5" fillId="0" borderId="2" xfId="4269" applyNumberFormat="1" applyFont="1" applyFill="1" applyBorder="1" applyAlignment="1">
      <alignment horizontal="left" vertical="center" wrapText="1"/>
    </xf>
    <xf numFmtId="1" fontId="35" fillId="0" borderId="0" xfId="1" applyNumberFormat="1" applyFont="1" applyFill="1" applyAlignment="1">
      <alignment horizontal="right" vertical="center" wrapText="1"/>
    </xf>
    <xf numFmtId="1" fontId="35" fillId="0" borderId="2" xfId="3" applyNumberFormat="1" applyFont="1" applyFill="1" applyBorder="1" applyAlignment="1">
      <alignment vertical="center" wrapText="1"/>
    </xf>
    <xf numFmtId="0" fontId="5" fillId="0" borderId="2" xfId="0" applyFont="1" applyFill="1" applyBorder="1" applyAlignment="1">
      <alignment vertical="center"/>
    </xf>
    <xf numFmtId="1" fontId="5" fillId="0" borderId="5" xfId="1" applyNumberFormat="1" applyFont="1" applyFill="1" applyBorder="1" applyAlignment="1">
      <alignment horizontal="right" vertical="center"/>
    </xf>
    <xf numFmtId="247" fontId="5" fillId="0" borderId="6" xfId="4260" applyNumberFormat="1" applyFont="1" applyFill="1" applyBorder="1" applyAlignment="1">
      <alignment horizontal="right" vertical="center" wrapText="1"/>
    </xf>
    <xf numFmtId="247" fontId="5" fillId="0" borderId="0" xfId="4260" applyNumberFormat="1" applyFont="1" applyFill="1" applyAlignment="1">
      <alignment horizontal="right" vertical="center" wrapText="1"/>
    </xf>
    <xf numFmtId="1" fontId="35" fillId="50" borderId="2" xfId="1" applyNumberFormat="1" applyFont="1" applyFill="1" applyBorder="1" applyAlignment="1">
      <alignment vertical="center" wrapText="1"/>
    </xf>
    <xf numFmtId="1" fontId="5" fillId="0" borderId="2" xfId="3" applyNumberFormat="1" applyFont="1" applyFill="1" applyBorder="1" applyAlignment="1">
      <alignment horizontal="left" vertical="center" wrapText="1"/>
    </xf>
    <xf numFmtId="0" fontId="5" fillId="0" borderId="2" xfId="4274" applyFont="1" applyFill="1" applyBorder="1" applyAlignment="1">
      <alignment vertical="center" wrapText="1"/>
    </xf>
    <xf numFmtId="178" fontId="5" fillId="0" borderId="2" xfId="1635" applyNumberFormat="1" applyFont="1" applyFill="1" applyBorder="1" applyAlignment="1">
      <alignment horizontal="center" vertical="center"/>
    </xf>
    <xf numFmtId="178" fontId="5" fillId="0" borderId="2" xfId="28" applyNumberFormat="1" applyFont="1" applyFill="1" applyBorder="1" applyAlignment="1">
      <alignment horizontal="center" vertical="center" wrapText="1"/>
    </xf>
    <xf numFmtId="3" fontId="5" fillId="0" borderId="2" xfId="4275" applyNumberFormat="1" applyFont="1" applyFill="1" applyBorder="1" applyAlignment="1">
      <alignment horizontal="right" vertical="center" wrapText="1"/>
    </xf>
    <xf numFmtId="0" fontId="5" fillId="0" borderId="2" xfId="0" applyFont="1" applyFill="1" applyBorder="1" applyAlignment="1">
      <alignment horizontal="left" vertical="center"/>
    </xf>
    <xf numFmtId="3" fontId="5" fillId="0" borderId="2" xfId="1" applyNumberFormat="1" applyFont="1" applyFill="1" applyBorder="1" applyAlignment="1">
      <alignment horizontal="right" vertical="center"/>
    </xf>
    <xf numFmtId="3" fontId="307"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center" vertical="center"/>
    </xf>
    <xf numFmtId="3" fontId="5" fillId="0" borderId="0" xfId="1" applyNumberFormat="1" applyFont="1" applyFill="1" applyAlignment="1">
      <alignment vertical="center"/>
    </xf>
    <xf numFmtId="1" fontId="308" fillId="0" borderId="2" xfId="1" applyNumberFormat="1" applyFont="1" applyFill="1" applyBorder="1" applyAlignment="1">
      <alignment horizontal="center" vertical="center"/>
    </xf>
    <xf numFmtId="1" fontId="308" fillId="0" borderId="2" xfId="1" applyNumberFormat="1" applyFont="1" applyFill="1" applyBorder="1" applyAlignment="1">
      <alignment vertical="center" wrapText="1"/>
    </xf>
    <xf numFmtId="1" fontId="308" fillId="0" borderId="2" xfId="1" applyNumberFormat="1" applyFont="1" applyFill="1" applyBorder="1" applyAlignment="1">
      <alignment horizontal="center" vertical="center" wrapText="1"/>
    </xf>
    <xf numFmtId="3" fontId="308" fillId="0" borderId="2" xfId="1" applyNumberFormat="1" applyFont="1" applyFill="1" applyBorder="1" applyAlignment="1">
      <alignment horizontal="right" vertical="center"/>
    </xf>
    <xf numFmtId="1" fontId="309" fillId="0" borderId="2" xfId="1" applyNumberFormat="1" applyFont="1" applyFill="1" applyBorder="1" applyAlignment="1">
      <alignment horizontal="center" vertical="center" wrapText="1"/>
    </xf>
    <xf numFmtId="3" fontId="308" fillId="0" borderId="2" xfId="1" applyNumberFormat="1" applyFont="1" applyFill="1" applyBorder="1" applyAlignment="1">
      <alignment horizontal="right" vertical="center" wrapText="1"/>
    </xf>
    <xf numFmtId="3" fontId="309" fillId="0" borderId="2" xfId="1" applyNumberFormat="1" applyFont="1" applyFill="1" applyBorder="1" applyAlignment="1">
      <alignment horizontal="center" vertical="center" wrapText="1"/>
    </xf>
    <xf numFmtId="3" fontId="309" fillId="0" borderId="2" xfId="1" quotePrefix="1" applyNumberFormat="1" applyFont="1" applyFill="1" applyBorder="1" applyAlignment="1">
      <alignment horizontal="center" vertical="center" wrapText="1"/>
    </xf>
    <xf numFmtId="3" fontId="308" fillId="0" borderId="2" xfId="1" applyNumberFormat="1" applyFont="1" applyFill="1" applyBorder="1" applyAlignment="1">
      <alignment horizontal="center" vertical="center"/>
    </xf>
    <xf numFmtId="1" fontId="308" fillId="0" borderId="2" xfId="1" applyNumberFormat="1" applyFont="1" applyFill="1" applyBorder="1" applyAlignment="1">
      <alignment horizontal="right" vertical="center"/>
    </xf>
    <xf numFmtId="1" fontId="308" fillId="0" borderId="0" xfId="1" applyNumberFormat="1" applyFont="1" applyFill="1" applyBorder="1" applyAlignment="1">
      <alignment horizontal="right" vertical="center"/>
    </xf>
    <xf numFmtId="3" fontId="308" fillId="0" borderId="0" xfId="1" applyNumberFormat="1" applyFont="1" applyFill="1" applyAlignment="1">
      <alignment vertical="center"/>
    </xf>
    <xf numFmtId="1" fontId="308" fillId="0" borderId="0" xfId="1" applyNumberFormat="1" applyFont="1" applyFill="1" applyAlignment="1">
      <alignment vertical="center"/>
    </xf>
    <xf numFmtId="3" fontId="309" fillId="0" borderId="0" xfId="1" applyNumberFormat="1" applyFont="1" applyFill="1" applyBorder="1" applyAlignment="1">
      <alignment horizontal="center" vertical="center" wrapText="1"/>
    </xf>
    <xf numFmtId="3" fontId="35" fillId="0" borderId="2" xfId="1" applyNumberFormat="1" applyFont="1" applyFill="1" applyBorder="1" applyAlignment="1">
      <alignment horizontal="right" vertical="center" wrapText="1"/>
    </xf>
    <xf numFmtId="3" fontId="5" fillId="0" borderId="2" xfId="1" applyNumberFormat="1" applyFont="1" applyFill="1" applyBorder="1" applyAlignment="1">
      <alignment horizontal="right" vertical="center" wrapText="1"/>
    </xf>
    <xf numFmtId="3" fontId="310" fillId="0" borderId="2" xfId="1" applyNumberFormat="1" applyFont="1" applyFill="1" applyBorder="1" applyAlignment="1">
      <alignment horizontal="center" vertical="center" wrapText="1"/>
    </xf>
    <xf numFmtId="0" fontId="35" fillId="0" borderId="2" xfId="4273" applyFont="1" applyFill="1" applyBorder="1" applyAlignment="1">
      <alignment horizontal="left" vertical="center" wrapText="1"/>
    </xf>
    <xf numFmtId="3" fontId="35" fillId="0" borderId="2" xfId="1" applyNumberFormat="1" applyFont="1" applyFill="1" applyBorder="1" applyAlignment="1">
      <alignment horizontal="right" vertical="center"/>
    </xf>
    <xf numFmtId="3" fontId="35" fillId="0" borderId="2" xfId="1" applyNumberFormat="1" applyFont="1" applyFill="1" applyBorder="1" applyAlignment="1">
      <alignment horizontal="center" vertical="center"/>
    </xf>
    <xf numFmtId="3" fontId="35" fillId="0" borderId="0" xfId="1" applyNumberFormat="1" applyFont="1" applyFill="1" applyAlignment="1">
      <alignment vertical="center"/>
    </xf>
    <xf numFmtId="338" fontId="35" fillId="0" borderId="0" xfId="1" applyNumberFormat="1" applyFont="1" applyFill="1" applyAlignment="1">
      <alignment horizontal="left" vertical="center"/>
    </xf>
    <xf numFmtId="0" fontId="35" fillId="50" borderId="2" xfId="0" applyFont="1" applyFill="1" applyBorder="1" applyAlignment="1">
      <alignment horizontal="center" vertical="center" wrapText="1"/>
    </xf>
    <xf numFmtId="3" fontId="311" fillId="0" borderId="2" xfId="1" applyNumberFormat="1" applyFont="1" applyFill="1" applyBorder="1" applyAlignment="1">
      <alignment horizontal="right" vertical="center" wrapText="1"/>
    </xf>
    <xf numFmtId="1" fontId="35" fillId="0" borderId="2" xfId="3" quotePrefix="1" applyNumberFormat="1" applyFont="1" applyFill="1" applyBorder="1" applyAlignment="1">
      <alignment horizontal="center" vertical="center" wrapText="1"/>
    </xf>
    <xf numFmtId="1" fontId="35" fillId="0" borderId="2" xfId="3" applyNumberFormat="1" applyFont="1" applyFill="1" applyBorder="1" applyAlignment="1">
      <alignment vertical="center"/>
    </xf>
    <xf numFmtId="1" fontId="35" fillId="0" borderId="0" xfId="3" applyNumberFormat="1" applyFont="1" applyFill="1" applyAlignment="1">
      <alignment vertical="center"/>
    </xf>
    <xf numFmtId="1" fontId="5" fillId="0" borderId="0" xfId="3" applyNumberFormat="1" applyFont="1" applyFill="1" applyAlignment="1">
      <alignment vertical="center"/>
    </xf>
    <xf numFmtId="1" fontId="35" fillId="0" borderId="0" xfId="3" applyNumberFormat="1" applyFont="1" applyFill="1" applyBorder="1" applyAlignment="1">
      <alignment horizontal="center" vertical="center"/>
    </xf>
    <xf numFmtId="1" fontId="5" fillId="0" borderId="2" xfId="3" quotePrefix="1" applyNumberFormat="1" applyFont="1" applyFill="1" applyBorder="1" applyAlignment="1">
      <alignment horizontal="center" vertical="center" wrapText="1"/>
    </xf>
    <xf numFmtId="1" fontId="5" fillId="0" borderId="2" xfId="3" applyNumberFormat="1" applyFont="1" applyFill="1" applyBorder="1" applyAlignment="1">
      <alignment vertical="center"/>
    </xf>
    <xf numFmtId="1" fontId="5" fillId="0" borderId="0" xfId="3" applyNumberFormat="1" applyFont="1" applyFill="1" applyBorder="1" applyAlignment="1">
      <alignment horizontal="center" vertical="center"/>
    </xf>
    <xf numFmtId="0" fontId="5" fillId="0" borderId="2" xfId="28" applyFont="1" applyFill="1" applyBorder="1" applyAlignment="1">
      <alignment horizontal="center" vertical="center" wrapText="1"/>
    </xf>
    <xf numFmtId="3" fontId="35" fillId="0" borderId="5" xfId="1" quotePrefix="1" applyNumberFormat="1" applyFont="1" applyFill="1" applyBorder="1" applyAlignment="1">
      <alignment horizontal="center" vertical="center" wrapText="1"/>
    </xf>
    <xf numFmtId="3" fontId="35" fillId="0" borderId="0" xfId="1" quotePrefix="1" applyNumberFormat="1" applyFont="1" applyFill="1" applyBorder="1" applyAlignment="1">
      <alignment horizontal="center" vertical="center" wrapText="1"/>
    </xf>
    <xf numFmtId="178" fontId="35" fillId="0" borderId="0" xfId="1776" applyNumberFormat="1" applyFont="1" applyFill="1" applyBorder="1" applyAlignment="1">
      <alignment horizontal="center" vertical="center" wrapText="1"/>
    </xf>
    <xf numFmtId="3" fontId="307" fillId="0" borderId="6" xfId="1" applyNumberFormat="1" applyFont="1" applyFill="1" applyBorder="1" applyAlignment="1">
      <alignment vertical="center" wrapText="1"/>
    </xf>
    <xf numFmtId="3" fontId="313" fillId="0" borderId="8" xfId="1" applyNumberFormat="1" applyFont="1" applyFill="1" applyBorder="1" applyAlignment="1">
      <alignment horizontal="center" vertical="center" wrapText="1"/>
    </xf>
    <xf numFmtId="3" fontId="313" fillId="0" borderId="6" xfId="1" applyNumberFormat="1" applyFont="1" applyFill="1" applyBorder="1" applyAlignment="1">
      <alignment horizontal="center" vertical="center" wrapText="1"/>
    </xf>
    <xf numFmtId="3" fontId="313" fillId="0" borderId="6" xfId="1" applyNumberFormat="1" applyFont="1" applyFill="1" applyBorder="1" applyAlignment="1">
      <alignment vertical="center" wrapText="1"/>
    </xf>
    <xf numFmtId="3" fontId="313" fillId="0" borderId="0" xfId="1" applyNumberFormat="1" applyFont="1" applyFill="1" applyBorder="1" applyAlignment="1">
      <alignment horizontal="center" vertical="center" wrapText="1"/>
    </xf>
    <xf numFmtId="1" fontId="314" fillId="0" borderId="0" xfId="1" applyNumberFormat="1" applyFont="1" applyFill="1" applyBorder="1" applyAlignment="1">
      <alignment horizontal="center" vertical="center" wrapText="1"/>
    </xf>
    <xf numFmtId="1" fontId="313" fillId="0" borderId="0" xfId="1" applyNumberFormat="1" applyFont="1" applyFill="1" applyAlignment="1">
      <alignment horizontal="center" vertical="center" wrapText="1"/>
    </xf>
    <xf numFmtId="43" fontId="313" fillId="0" borderId="0" xfId="4260" applyNumberFormat="1" applyFont="1" applyFill="1" applyAlignment="1">
      <alignment horizontal="center" vertical="center" wrapText="1"/>
    </xf>
    <xf numFmtId="247" fontId="313" fillId="0" borderId="0" xfId="4260" applyNumberFormat="1" applyFont="1" applyFill="1" applyAlignment="1">
      <alignment horizontal="center" vertical="center" wrapText="1"/>
    </xf>
    <xf numFmtId="3" fontId="313" fillId="0" borderId="8" xfId="1" applyNumberFormat="1" applyFont="1" applyFill="1" applyBorder="1" applyAlignment="1">
      <alignment vertical="center" wrapText="1"/>
    </xf>
    <xf numFmtId="43" fontId="313" fillId="0" borderId="0" xfId="4260" applyNumberFormat="1" applyFont="1" applyFill="1" applyBorder="1" applyAlignment="1">
      <alignment horizontal="center" vertical="center" wrapText="1"/>
    </xf>
    <xf numFmtId="43" fontId="313" fillId="0" borderId="0" xfId="4260" applyFont="1" applyFill="1" applyBorder="1" applyAlignment="1">
      <alignment horizontal="center" vertical="center" wrapText="1"/>
    </xf>
    <xf numFmtId="3" fontId="313" fillId="0" borderId="7" xfId="1" applyNumberFormat="1" applyFont="1" applyFill="1" applyBorder="1" applyAlignment="1">
      <alignment horizontal="center" vertical="center" wrapText="1"/>
    </xf>
    <xf numFmtId="3" fontId="313" fillId="0" borderId="7" xfId="1" applyNumberFormat="1" applyFont="1" applyFill="1" applyBorder="1" applyAlignment="1">
      <alignment vertical="center" wrapText="1"/>
    </xf>
    <xf numFmtId="3" fontId="307" fillId="0" borderId="7" xfId="1" applyNumberFormat="1" applyFont="1" applyFill="1" applyBorder="1" applyAlignment="1">
      <alignment vertical="center" wrapText="1"/>
    </xf>
    <xf numFmtId="3" fontId="307" fillId="0" borderId="2" xfId="1" applyNumberFormat="1" applyFont="1" applyFill="1" applyBorder="1" applyAlignment="1">
      <alignment vertical="center" wrapText="1"/>
    </xf>
    <xf numFmtId="3" fontId="313" fillId="0" borderId="9" xfId="1" applyNumberFormat="1" applyFont="1" applyFill="1" applyBorder="1" applyAlignment="1">
      <alignment horizontal="center" vertical="center" wrapText="1"/>
    </xf>
    <xf numFmtId="3" fontId="313" fillId="0" borderId="10" xfId="1" applyNumberFormat="1" applyFont="1" applyFill="1" applyBorder="1" applyAlignment="1">
      <alignment horizontal="center" vertical="center" wrapText="1"/>
    </xf>
    <xf numFmtId="3" fontId="313" fillId="0" borderId="13" xfId="1" applyNumberFormat="1" applyFont="1" applyFill="1" applyBorder="1" applyAlignment="1">
      <alignment horizontal="center" vertical="center" wrapText="1"/>
    </xf>
    <xf numFmtId="3" fontId="313" fillId="0" borderId="14" xfId="1" applyNumberFormat="1" applyFont="1" applyFill="1" applyBorder="1" applyAlignment="1">
      <alignment horizontal="center" vertical="center" wrapText="1"/>
    </xf>
    <xf numFmtId="3" fontId="313" fillId="0" borderId="2" xfId="1" applyNumberFormat="1" applyFont="1" applyFill="1" applyBorder="1" applyAlignment="1">
      <alignment horizontal="center" vertical="center" wrapText="1"/>
    </xf>
    <xf numFmtId="3" fontId="274" fillId="0" borderId="1" xfId="1" applyNumberFormat="1" applyFont="1" applyFill="1" applyBorder="1" applyAlignment="1">
      <alignment horizontal="center" vertical="center" wrapText="1"/>
    </xf>
    <xf numFmtId="1" fontId="5" fillId="0" borderId="0" xfId="1" applyNumberFormat="1" applyFont="1" applyFill="1" applyBorder="1" applyAlignment="1">
      <alignment horizontal="center" vertical="center" wrapText="1"/>
    </xf>
    <xf numFmtId="1" fontId="15" fillId="0" borderId="0" xfId="1" applyNumberFormat="1" applyFont="1" applyFill="1" applyAlignment="1">
      <alignment horizontal="right" vertical="center"/>
    </xf>
    <xf numFmtId="1" fontId="5" fillId="0" borderId="0" xfId="1" applyNumberFormat="1" applyFont="1" applyFill="1" applyAlignment="1">
      <alignment horizontal="center" vertical="center" wrapText="1"/>
    </xf>
    <xf numFmtId="3" fontId="313" fillId="0" borderId="11" xfId="1" applyNumberFormat="1" applyFont="1" applyFill="1" applyBorder="1" applyAlignment="1">
      <alignment horizontal="center" vertical="center" wrapText="1"/>
    </xf>
    <xf numFmtId="3" fontId="313" fillId="0" borderId="1" xfId="1" applyNumberFormat="1" applyFont="1" applyFill="1" applyBorder="1" applyAlignment="1">
      <alignment horizontal="center" vertical="center" wrapText="1"/>
    </xf>
    <xf numFmtId="1" fontId="312" fillId="0" borderId="0" xfId="1" applyNumberFormat="1" applyFont="1" applyFill="1" applyBorder="1" applyAlignment="1">
      <alignment horizontal="center" vertical="center"/>
    </xf>
    <xf numFmtId="3" fontId="313" fillId="0" borderId="52" xfId="1" applyNumberFormat="1" applyFont="1" applyFill="1" applyBorder="1" applyAlignment="1">
      <alignment horizontal="center" vertical="center" wrapText="1"/>
    </xf>
    <xf numFmtId="3" fontId="313" fillId="0" borderId="6" xfId="1" applyNumberFormat="1" applyFont="1" applyFill="1" applyBorder="1" applyAlignment="1">
      <alignment horizontal="center" vertical="center" wrapText="1"/>
    </xf>
    <xf numFmtId="3" fontId="313" fillId="0" borderId="8" xfId="1" applyNumberFormat="1" applyFont="1" applyFill="1" applyBorder="1" applyAlignment="1">
      <alignment horizontal="center" vertical="center" wrapText="1"/>
    </xf>
    <xf numFmtId="3" fontId="313" fillId="0" borderId="7" xfId="1" applyNumberFormat="1" applyFont="1" applyFill="1" applyBorder="1" applyAlignment="1">
      <alignment horizontal="center" vertical="center" wrapText="1"/>
    </xf>
    <xf numFmtId="178" fontId="313" fillId="0" borderId="2" xfId="1618" applyNumberFormat="1" applyFont="1" applyFill="1" applyBorder="1" applyAlignment="1">
      <alignment horizontal="center" vertical="center" wrapText="1"/>
    </xf>
    <xf numFmtId="3" fontId="314" fillId="0" borderId="2" xfId="1" applyNumberFormat="1" applyFont="1" applyFill="1" applyBorder="1" applyAlignment="1">
      <alignment horizontal="center" vertical="center" wrapText="1"/>
    </xf>
    <xf numFmtId="3" fontId="313" fillId="0" borderId="12" xfId="1" applyNumberFormat="1" applyFont="1" applyFill="1" applyBorder="1" applyAlignment="1">
      <alignment horizontal="center" vertical="center" wrapText="1"/>
    </xf>
    <xf numFmtId="3" fontId="9" fillId="0" borderId="0" xfId="1" applyNumberFormat="1" applyFont="1" applyFill="1" applyBorder="1" applyAlignment="1">
      <alignment horizontal="center" vertical="center" wrapText="1"/>
    </xf>
    <xf numFmtId="3" fontId="9" fillId="0" borderId="1" xfId="1" applyNumberFormat="1" applyFont="1" applyFill="1" applyBorder="1" applyAlignment="1">
      <alignment horizontal="center" vertical="center" wrapText="1"/>
    </xf>
    <xf numFmtId="0" fontId="35" fillId="0" borderId="2" xfId="2678" applyFont="1" applyFill="1" applyBorder="1" applyAlignment="1">
      <alignment horizontal="center" vertical="center" wrapText="1"/>
    </xf>
    <xf numFmtId="1" fontId="16" fillId="0" borderId="0" xfId="1" applyNumberFormat="1" applyFont="1" applyFill="1" applyBorder="1" applyAlignment="1">
      <alignment horizontal="left" vertical="center"/>
    </xf>
    <xf numFmtId="3" fontId="307" fillId="0" borderId="2" xfId="1" applyNumberFormat="1" applyFont="1" applyFill="1" applyBorder="1" applyAlignment="1">
      <alignment horizontal="center" vertical="center" wrapText="1"/>
    </xf>
    <xf numFmtId="3" fontId="307" fillId="0" borderId="6" xfId="1" applyNumberFormat="1" applyFont="1" applyFill="1" applyBorder="1" applyAlignment="1">
      <alignment horizontal="center" vertical="center" wrapText="1"/>
    </xf>
    <xf numFmtId="3" fontId="307" fillId="0" borderId="8" xfId="1" applyNumberFormat="1" applyFont="1" applyFill="1" applyBorder="1" applyAlignment="1">
      <alignment horizontal="center" vertical="center" wrapText="1"/>
    </xf>
    <xf numFmtId="2" fontId="41" fillId="0" borderId="2" xfId="4276" applyNumberFormat="1" applyFont="1" applyFill="1" applyBorder="1" applyAlignment="1">
      <alignment horizontal="center" vertical="center" wrapText="1"/>
    </xf>
    <xf numFmtId="0" fontId="41" fillId="0" borderId="0" xfId="4276" applyFont="1" applyFill="1" applyAlignment="1">
      <alignment horizontal="center" vertical="center"/>
    </xf>
    <xf numFmtId="0" fontId="26" fillId="0" borderId="0" xfId="4276" applyFont="1" applyFill="1" applyAlignment="1">
      <alignment horizontal="center" vertical="center"/>
    </xf>
    <xf numFmtId="0" fontId="41" fillId="0" borderId="2" xfId="4276" applyFont="1" applyFill="1" applyBorder="1" applyAlignment="1">
      <alignment horizontal="center" vertical="center" wrapText="1"/>
    </xf>
    <xf numFmtId="0" fontId="41" fillId="0" borderId="3" xfId="4276" applyFont="1" applyFill="1" applyBorder="1" applyAlignment="1">
      <alignment horizontal="center" vertical="center" wrapText="1"/>
    </xf>
    <xf numFmtId="0" fontId="41" fillId="0" borderId="4" xfId="4276" applyFont="1" applyFill="1" applyBorder="1" applyAlignment="1">
      <alignment horizontal="center" vertical="center" wrapText="1"/>
    </xf>
    <xf numFmtId="0" fontId="41" fillId="0" borderId="5" xfId="4276" applyFont="1" applyFill="1" applyBorder="1" applyAlignment="1">
      <alignment horizontal="center" vertical="center" wrapText="1"/>
    </xf>
    <xf numFmtId="2" fontId="41" fillId="0" borderId="5" xfId="4276" applyNumberFormat="1" applyFont="1" applyFill="1" applyBorder="1" applyAlignment="1">
      <alignment horizontal="center" vertical="center" wrapText="1"/>
    </xf>
    <xf numFmtId="0" fontId="41" fillId="0" borderId="0" xfId="4276" applyFont="1" applyFill="1" applyAlignment="1">
      <alignment horizontal="center" vertical="center" wrapText="1"/>
    </xf>
    <xf numFmtId="0" fontId="41" fillId="0" borderId="2" xfId="0" applyFont="1" applyFill="1" applyBorder="1" applyAlignment="1">
      <alignment horizontal="center" vertical="center" wrapText="1"/>
    </xf>
    <xf numFmtId="0" fontId="10" fillId="0" borderId="0" xfId="0" applyFont="1" applyAlignment="1">
      <alignment horizontal="center" vertical="center" wrapText="1" readingOrder="1"/>
    </xf>
    <xf numFmtId="1" fontId="22" fillId="0" borderId="0" xfId="1" applyNumberFormat="1" applyFont="1" applyFill="1" applyAlignment="1">
      <alignment horizontal="right" vertical="center"/>
    </xf>
    <xf numFmtId="1" fontId="18"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8" fillId="0" borderId="0" xfId="1" applyNumberFormat="1" applyFont="1" applyFill="1" applyAlignment="1">
      <alignment horizontal="center" vertical="center" wrapText="1"/>
    </xf>
    <xf numFmtId="1" fontId="18" fillId="0" borderId="1" xfId="1" applyNumberFormat="1" applyFont="1" applyFill="1" applyBorder="1" applyAlignment="1">
      <alignment horizontal="right" vertical="center"/>
    </xf>
    <xf numFmtId="3" fontId="9" fillId="0" borderId="6" xfId="1" applyNumberFormat="1" applyFont="1" applyBorder="1" applyAlignment="1">
      <alignment horizontal="center" vertical="center" wrapText="1"/>
    </xf>
    <xf numFmtId="3" fontId="9" fillId="0" borderId="8" xfId="1" applyNumberFormat="1" applyFont="1" applyBorder="1" applyAlignment="1">
      <alignment horizontal="center" vertical="center" wrapText="1"/>
    </xf>
    <xf numFmtId="3" fontId="9" fillId="0" borderId="7" xfId="1" applyNumberFormat="1" applyFont="1" applyBorder="1" applyAlignment="1">
      <alignment horizontal="center" vertical="center" wrapText="1"/>
    </xf>
    <xf numFmtId="3" fontId="9" fillId="0" borderId="3" xfId="1" applyNumberFormat="1" applyFont="1" applyFill="1" applyBorder="1" applyAlignment="1">
      <alignment horizontal="center" vertical="center" wrapText="1"/>
    </xf>
    <xf numFmtId="3" fontId="9" fillId="0" borderId="4" xfId="1"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3" fontId="9" fillId="0" borderId="2" xfId="1" applyNumberFormat="1" applyFont="1" applyBorder="1" applyAlignment="1">
      <alignment horizontal="center" vertical="center" wrapText="1"/>
    </xf>
    <xf numFmtId="0" fontId="25" fillId="0" borderId="2" xfId="0" applyFont="1" applyBorder="1"/>
    <xf numFmtId="3" fontId="9" fillId="0" borderId="2" xfId="1" applyNumberFormat="1" applyFont="1" applyFill="1" applyBorder="1" applyAlignment="1">
      <alignment horizontal="center" vertical="center" wrapText="1"/>
    </xf>
    <xf numFmtId="3" fontId="16" fillId="0" borderId="2" xfId="1" applyNumberFormat="1" applyFont="1" applyFill="1" applyBorder="1" applyAlignment="1">
      <alignment horizontal="left" vertical="center" wrapText="1"/>
    </xf>
    <xf numFmtId="3" fontId="9" fillId="0" borderId="9" xfId="1" applyNumberFormat="1" applyFont="1" applyBorder="1" applyAlignment="1">
      <alignment horizontal="center" vertical="center" wrapText="1"/>
    </xf>
    <xf numFmtId="3" fontId="9" fillId="0" borderId="11" xfId="1" applyNumberFormat="1" applyFont="1" applyBorder="1" applyAlignment="1">
      <alignment horizontal="center" vertical="center" wrapText="1"/>
    </xf>
    <xf numFmtId="3" fontId="9" fillId="0" borderId="10" xfId="1" applyNumberFormat="1" applyFont="1" applyBorder="1" applyAlignment="1">
      <alignment horizontal="center" vertical="center" wrapText="1"/>
    </xf>
    <xf numFmtId="3" fontId="9" fillId="0" borderId="13" xfId="1"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3" fontId="9" fillId="0" borderId="14" xfId="1" applyNumberFormat="1" applyFont="1" applyBorder="1" applyAlignment="1">
      <alignment horizontal="center" vertical="center" wrapText="1"/>
    </xf>
    <xf numFmtId="3" fontId="9" fillId="0" borderId="3" xfId="1" applyNumberFormat="1" applyFont="1" applyBorder="1" applyAlignment="1">
      <alignment horizontal="center" vertical="center" wrapText="1"/>
    </xf>
    <xf numFmtId="3" fontId="9" fillId="0" borderId="4" xfId="1" applyNumberFormat="1" applyFont="1" applyBorder="1" applyAlignment="1">
      <alignment horizontal="center" vertical="center" wrapText="1"/>
    </xf>
    <xf numFmtId="3" fontId="9" fillId="0" borderId="5" xfId="1" applyNumberFormat="1" applyFont="1" applyBorder="1" applyAlignment="1">
      <alignment horizontal="center" vertical="center" wrapText="1"/>
    </xf>
    <xf numFmtId="3" fontId="9" fillId="0" borderId="6" xfId="1" applyNumberFormat="1" applyFont="1" applyFill="1" applyBorder="1" applyAlignment="1">
      <alignment horizontal="center" vertical="center" wrapText="1"/>
    </xf>
    <xf numFmtId="3" fontId="9" fillId="0" borderId="8"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3" fontId="26" fillId="0" borderId="6" xfId="1" applyNumberFormat="1" applyFont="1" applyFill="1" applyBorder="1" applyAlignment="1">
      <alignment horizontal="center" vertical="center" wrapText="1"/>
    </xf>
    <xf numFmtId="3" fontId="26" fillId="0" borderId="7" xfId="1" applyNumberFormat="1" applyFont="1" applyFill="1" applyBorder="1" applyAlignment="1">
      <alignment horizontal="center" vertical="center" wrapText="1"/>
    </xf>
    <xf numFmtId="0" fontId="12" fillId="0" borderId="0" xfId="0" applyFont="1" applyAlignment="1">
      <alignment horizontal="left" vertical="center" wrapText="1"/>
    </xf>
    <xf numFmtId="49" fontId="16" fillId="0" borderId="0" xfId="1" applyNumberFormat="1" applyFont="1" applyFill="1" applyBorder="1" applyAlignment="1">
      <alignment horizontal="left" vertical="center"/>
    </xf>
    <xf numFmtId="1" fontId="16" fillId="0" borderId="0" xfId="1" quotePrefix="1" applyNumberFormat="1" applyFont="1" applyFill="1" applyAlignment="1">
      <alignment horizontal="left" vertical="center" wrapText="1"/>
    </xf>
    <xf numFmtId="1" fontId="16" fillId="0" borderId="0" xfId="1" applyNumberFormat="1" applyFont="1" applyFill="1" applyAlignment="1">
      <alignment horizontal="left" vertical="center" wrapText="1"/>
    </xf>
    <xf numFmtId="0" fontId="29" fillId="0" borderId="0" xfId="0" applyFont="1" applyAlignment="1">
      <alignment horizontal="center" vertical="center" wrapText="1"/>
    </xf>
    <xf numFmtId="0" fontId="8" fillId="0" borderId="0" xfId="0" applyFont="1" applyAlignment="1">
      <alignment horizontal="left" vertical="center" wrapText="1" readingOrder="1"/>
    </xf>
    <xf numFmtId="0" fontId="10" fillId="0" borderId="0" xfId="0" applyFont="1" applyAlignment="1">
      <alignment horizontal="left" vertical="center" wrapText="1" readingOrder="1"/>
    </xf>
    <xf numFmtId="0" fontId="27" fillId="0" borderId="0" xfId="0" applyFont="1" applyAlignment="1">
      <alignment horizontal="right" vertical="center" wrapText="1"/>
    </xf>
    <xf numFmtId="0" fontId="31" fillId="0" borderId="1" xfId="0" applyFont="1" applyBorder="1" applyAlignment="1">
      <alignment horizontal="righ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Fill="1" applyAlignment="1">
      <alignment horizontal="left" vertical="center" wrapText="1"/>
    </xf>
    <xf numFmtId="1" fontId="33" fillId="0" borderId="0" xfId="1" applyNumberFormat="1" applyFont="1" applyFill="1" applyAlignment="1">
      <alignment horizontal="right" vertical="center"/>
    </xf>
    <xf numFmtId="3" fontId="38" fillId="0" borderId="6" xfId="1" applyNumberFormat="1" applyFont="1" applyFill="1" applyBorder="1" applyAlignment="1">
      <alignment horizontal="center" vertical="center" wrapText="1"/>
    </xf>
    <xf numFmtId="3" fontId="38" fillId="0" borderId="7" xfId="1" applyNumberFormat="1" applyFont="1" applyFill="1" applyBorder="1" applyAlignment="1">
      <alignment horizontal="center" vertical="center" wrapText="1"/>
    </xf>
    <xf numFmtId="3" fontId="38" fillId="0" borderId="9" xfId="1" applyNumberFormat="1" applyFont="1" applyFill="1" applyBorder="1" applyAlignment="1">
      <alignment horizontal="center" vertical="center" wrapText="1"/>
    </xf>
    <xf numFmtId="3" fontId="38" fillId="0" borderId="11" xfId="1" applyNumberFormat="1" applyFont="1" applyFill="1" applyBorder="1" applyAlignment="1">
      <alignment horizontal="center" vertical="center" wrapText="1"/>
    </xf>
    <xf numFmtId="3" fontId="38" fillId="0" borderId="10" xfId="1" applyNumberFormat="1" applyFont="1" applyFill="1" applyBorder="1" applyAlignment="1">
      <alignment horizontal="center" vertical="center" wrapText="1"/>
    </xf>
    <xf numFmtId="3" fontId="38" fillId="0" borderId="13" xfId="1" applyNumberFormat="1" applyFont="1" applyFill="1" applyBorder="1" applyAlignment="1">
      <alignment horizontal="center" vertical="center" wrapText="1"/>
    </xf>
    <xf numFmtId="3" fontId="38" fillId="0" borderId="1" xfId="1" applyNumberFormat="1" applyFont="1" applyFill="1" applyBorder="1" applyAlignment="1">
      <alignment horizontal="center" vertical="center" wrapText="1"/>
    </xf>
    <xf numFmtId="3" fontId="38" fillId="0" borderId="14" xfId="1" applyNumberFormat="1" applyFont="1" applyFill="1" applyBorder="1" applyAlignment="1">
      <alignment horizontal="center" vertical="center" wrapText="1"/>
    </xf>
    <xf numFmtId="3" fontId="38" fillId="0" borderId="6" xfId="1" applyNumberFormat="1" applyFont="1" applyBorder="1" applyAlignment="1">
      <alignment horizontal="center" vertical="center" wrapText="1"/>
    </xf>
    <xf numFmtId="3" fontId="38" fillId="0" borderId="7" xfId="1" applyNumberFormat="1" applyFont="1" applyBorder="1" applyAlignment="1">
      <alignment horizontal="center" vertical="center" wrapText="1"/>
    </xf>
    <xf numFmtId="3" fontId="38" fillId="0" borderId="9" xfId="1" applyNumberFormat="1" applyFont="1" applyBorder="1" applyAlignment="1">
      <alignment horizontal="center" vertical="center" wrapText="1"/>
    </xf>
    <xf numFmtId="3" fontId="38" fillId="0" borderId="10" xfId="1" applyNumberFormat="1" applyFont="1" applyBorder="1" applyAlignment="1">
      <alignment horizontal="center" vertical="center" wrapText="1"/>
    </xf>
    <xf numFmtId="3" fontId="38" fillId="0" borderId="13" xfId="1" applyNumberFormat="1" applyFont="1" applyBorder="1" applyAlignment="1">
      <alignment horizontal="center" vertical="center" wrapText="1"/>
    </xf>
    <xf numFmtId="3" fontId="38" fillId="0" borderId="14" xfId="1" applyNumberFormat="1" applyFont="1" applyBorder="1" applyAlignment="1">
      <alignment horizontal="center" vertical="center" wrapText="1"/>
    </xf>
    <xf numFmtId="3" fontId="38" fillId="0" borderId="8" xfId="1" applyNumberFormat="1" applyFont="1" applyBorder="1" applyAlignment="1">
      <alignment horizontal="center" vertical="center" wrapText="1"/>
    </xf>
    <xf numFmtId="3" fontId="38" fillId="0" borderId="3" xfId="1" applyNumberFormat="1" applyFont="1" applyBorder="1" applyAlignment="1">
      <alignment horizontal="center" vertical="center" wrapText="1"/>
    </xf>
    <xf numFmtId="3" fontId="38" fillId="0" borderId="5" xfId="1" applyNumberFormat="1" applyFont="1" applyBorder="1" applyAlignment="1">
      <alignment horizontal="center" vertical="center" wrapText="1"/>
    </xf>
    <xf numFmtId="3" fontId="38" fillId="0" borderId="11" xfId="1" applyNumberFormat="1" applyFont="1" applyBorder="1" applyAlignment="1">
      <alignment horizontal="center" vertical="center" wrapText="1"/>
    </xf>
    <xf numFmtId="3" fontId="38" fillId="0" borderId="1" xfId="1" applyNumberFormat="1" applyFont="1" applyBorder="1" applyAlignment="1">
      <alignment horizontal="center" vertical="center" wrapText="1"/>
    </xf>
    <xf numFmtId="3" fontId="38" fillId="0" borderId="3" xfId="1" applyNumberFormat="1" applyFont="1" applyFill="1" applyBorder="1" applyAlignment="1">
      <alignment horizontal="center" vertical="center" wrapText="1"/>
    </xf>
    <xf numFmtId="3" fontId="38" fillId="0" borderId="4" xfId="1" applyNumberFormat="1" applyFont="1" applyFill="1" applyBorder="1" applyAlignment="1">
      <alignment horizontal="center" vertical="center" wrapText="1"/>
    </xf>
    <xf numFmtId="3" fontId="38" fillId="0" borderId="5" xfId="1" applyNumberFormat="1" applyFont="1" applyFill="1" applyBorder="1" applyAlignment="1">
      <alignment horizontal="center" vertical="center" wrapText="1"/>
    </xf>
    <xf numFmtId="0" fontId="9" fillId="0" borderId="2" xfId="2" applyFont="1" applyBorder="1" applyAlignment="1">
      <alignment horizontal="center" vertical="center"/>
    </xf>
    <xf numFmtId="3" fontId="9" fillId="0" borderId="2" xfId="3" applyNumberFormat="1" applyFont="1" applyFill="1" applyBorder="1" applyAlignment="1">
      <alignment horizontal="center" vertical="center" wrapText="1"/>
    </xf>
    <xf numFmtId="0" fontId="7" fillId="0" borderId="2" xfId="4" applyFont="1" applyBorder="1" applyAlignment="1">
      <alignment horizontal="center" vertical="center" wrapText="1"/>
    </xf>
    <xf numFmtId="3" fontId="26" fillId="0" borderId="3" xfId="1" applyNumberFormat="1" applyFont="1" applyFill="1" applyBorder="1" applyAlignment="1">
      <alignment horizontal="center" vertical="center" wrapText="1"/>
    </xf>
    <xf numFmtId="3" fontId="26" fillId="0" borderId="5" xfId="1" applyNumberFormat="1" applyFont="1" applyFill="1" applyBorder="1" applyAlignment="1">
      <alignment horizontal="center" vertical="center" wrapText="1"/>
    </xf>
    <xf numFmtId="3" fontId="38" fillId="0" borderId="2" xfId="1" applyNumberFormat="1" applyFont="1" applyFill="1" applyBorder="1" applyAlignment="1">
      <alignment horizontal="center" vertical="center" wrapText="1"/>
    </xf>
    <xf numFmtId="1" fontId="17" fillId="0" borderId="0" xfId="1" applyNumberFormat="1" applyFont="1" applyFill="1" applyAlignment="1">
      <alignment horizontal="center" vertical="center" wrapText="1"/>
    </xf>
    <xf numFmtId="1" fontId="16" fillId="0" borderId="1" xfId="1" applyNumberFormat="1" applyFont="1" applyFill="1" applyBorder="1" applyAlignment="1">
      <alignment horizontal="right" vertical="center"/>
    </xf>
    <xf numFmtId="3" fontId="9" fillId="0" borderId="9" xfId="1" applyNumberFormat="1" applyFont="1" applyFill="1" applyBorder="1" applyAlignment="1">
      <alignment horizontal="center" vertical="center" wrapText="1"/>
    </xf>
    <xf numFmtId="3" fontId="9" fillId="0" borderId="11" xfId="1" applyNumberFormat="1" applyFont="1" applyFill="1" applyBorder="1" applyAlignment="1">
      <alignment horizontal="center" vertical="center" wrapText="1"/>
    </xf>
    <xf numFmtId="3" fontId="9" fillId="0" borderId="13" xfId="1" applyNumberFormat="1" applyFont="1" applyFill="1" applyBorder="1" applyAlignment="1">
      <alignment horizontal="center" vertical="center" wrapText="1"/>
    </xf>
    <xf numFmtId="1" fontId="9" fillId="0" borderId="0" xfId="1" applyNumberFormat="1" applyFont="1" applyFill="1" applyAlignment="1">
      <alignment horizontal="left" vertical="center" wrapText="1"/>
    </xf>
    <xf numFmtId="1" fontId="9" fillId="0" borderId="12" xfId="1" applyNumberFormat="1" applyFont="1" applyFill="1" applyBorder="1" applyAlignment="1">
      <alignment horizontal="center" vertical="center" wrapText="1"/>
    </xf>
    <xf numFmtId="1" fontId="16" fillId="0" borderId="0" xfId="1" applyNumberFormat="1" applyFont="1" applyFill="1" applyBorder="1" applyAlignment="1">
      <alignment horizontal="left" vertical="center" wrapText="1"/>
    </xf>
    <xf numFmtId="0" fontId="54" fillId="0" borderId="6" xfId="20" applyFont="1" applyBorder="1" applyAlignment="1">
      <alignment horizontal="center" vertical="center" wrapText="1" readingOrder="1"/>
    </xf>
    <xf numFmtId="0" fontId="54" fillId="0" borderId="7" xfId="20" applyFont="1" applyBorder="1" applyAlignment="1">
      <alignment horizontal="center" vertical="center" wrapText="1" readingOrder="1"/>
    </xf>
    <xf numFmtId="0" fontId="54" fillId="0" borderId="2" xfId="20" applyFont="1" applyBorder="1" applyAlignment="1">
      <alignment horizontal="center" vertical="center" wrapText="1" readingOrder="1"/>
    </xf>
    <xf numFmtId="0" fontId="50" fillId="0" borderId="0" xfId="20" applyFont="1" applyAlignment="1">
      <alignment horizontal="center" vertical="center" wrapText="1" readingOrder="1"/>
    </xf>
    <xf numFmtId="0" fontId="10" fillId="0" borderId="0" xfId="20" applyFont="1" applyAlignment="1">
      <alignment horizontal="center" vertical="center" wrapText="1" readingOrder="1"/>
    </xf>
    <xf numFmtId="0" fontId="53" fillId="0" borderId="0" xfId="20" applyFont="1" applyAlignment="1">
      <alignment horizontal="right" vertical="center" wrapText="1" readingOrder="1"/>
    </xf>
    <xf numFmtId="0" fontId="10" fillId="0" borderId="1" xfId="20" applyFont="1" applyBorder="1" applyAlignment="1">
      <alignment horizontal="right" vertical="center" wrapText="1" readingOrder="1"/>
    </xf>
    <xf numFmtId="0" fontId="54" fillId="0" borderId="3" xfId="20" applyFont="1" applyBorder="1" applyAlignment="1">
      <alignment horizontal="center" vertical="center" wrapText="1" readingOrder="1"/>
    </xf>
    <xf numFmtId="0" fontId="54" fillId="0" borderId="4" xfId="20" applyFont="1" applyBorder="1" applyAlignment="1">
      <alignment horizontal="center" vertical="center" wrapText="1" readingOrder="1"/>
    </xf>
    <xf numFmtId="0" fontId="54" fillId="0" borderId="5" xfId="20" applyFont="1" applyBorder="1" applyAlignment="1">
      <alignment horizontal="center" vertical="center" wrapText="1" readingOrder="1"/>
    </xf>
    <xf numFmtId="0" fontId="54" fillId="0" borderId="8" xfId="20" applyFont="1" applyBorder="1" applyAlignment="1">
      <alignment horizontal="center" vertical="center" wrapText="1" readingOrder="1"/>
    </xf>
    <xf numFmtId="0" fontId="51" fillId="0" borderId="2" xfId="20" applyFont="1" applyBorder="1" applyAlignment="1">
      <alignment horizontal="center" vertical="center" wrapText="1"/>
    </xf>
    <xf numFmtId="0" fontId="56" fillId="0" borderId="1" xfId="20" applyFont="1" applyBorder="1" applyAlignment="1">
      <alignment horizontal="right" vertical="center" wrapText="1" readingOrder="1"/>
    </xf>
    <xf numFmtId="49" fontId="51" fillId="0" borderId="2" xfId="20" applyNumberFormat="1" applyFont="1" applyBorder="1" applyAlignment="1">
      <alignment horizontal="center" vertical="center" wrapText="1"/>
    </xf>
    <xf numFmtId="0" fontId="51" fillId="0" borderId="0" xfId="20" applyFont="1" applyAlignment="1">
      <alignment horizontal="left" vertical="center" wrapText="1" readingOrder="1"/>
    </xf>
    <xf numFmtId="0" fontId="10" fillId="0" borderId="0" xfId="20" applyFont="1" applyAlignment="1">
      <alignment horizontal="left" vertical="center" wrapText="1" readingOrder="1"/>
    </xf>
    <xf numFmtId="0" fontId="58" fillId="0" borderId="0" xfId="20" applyFont="1" applyAlignment="1">
      <alignment horizontal="right" vertical="center" wrapText="1" readingOrder="1"/>
    </xf>
    <xf numFmtId="0" fontId="25" fillId="0" borderId="2" xfId="10" applyFont="1" applyBorder="1" applyAlignment="1">
      <alignment horizontal="center" vertical="center" wrapText="1"/>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horizontal="right" vertical="center"/>
    </xf>
    <xf numFmtId="49" fontId="9" fillId="0" borderId="2" xfId="1" applyNumberFormat="1" applyFont="1" applyBorder="1" applyAlignment="1">
      <alignment horizontal="center" vertical="center" wrapText="1"/>
    </xf>
    <xf numFmtId="0" fontId="65" fillId="0" borderId="0" xfId="20" applyFont="1" applyAlignment="1">
      <alignment horizontal="center" vertical="center" wrapText="1" readingOrder="1"/>
    </xf>
  </cellXfs>
  <cellStyles count="5031">
    <cellStyle name="_x0001_" xfId="23"/>
    <cellStyle name="          _x000a__x000a_shell=progman.exe_x000a__x000a_m" xfId="24"/>
    <cellStyle name="          _x000d__x000a_shell=progman.exe_x000d__x000a_m" xfId="25"/>
    <cellStyle name="          _x005f_x000d__x005f_x000a_shell=progman.exe_x005f_x000d__x005f_x000a_m" xfId="26"/>
    <cellStyle name="_x000a__x000a_JournalTemplate=C:\COMFO\CTALK\JOURSTD.TPL_x000a__x000a_LbStateAddress=3 3 0 251 1 89 2 311_x000a__x000a_LbStateJou" xfId="27"/>
    <cellStyle name="_x000d__x000a_JournalTemplate=C:\COMFO\CTALK\JOURSTD.TPL_x000d__x000a_LbStateAddress=3 3 0 251 1 89 2 311_x000d__x000a_LbStateJou" xfId="28"/>
    <cellStyle name="_x000d__x000a_JournalTemplate=C:\COMFO\CTALK\JOURSTD.TPL_x000d__x000a_LbStateAddress=3 3 0 251 1 89 2 311_x000d__x000a_LbStateJou 2" xfId="4266"/>
    <cellStyle name="_x000d__x000a_JournalTemplate=C:\COMFO\CTALK\JOURSTD.TPL_x000d__x000a_LbStateAddress=3 3 0 251 1 89 2 311_x000d__x000a_LbStateJou 2 2" xfId="4267"/>
    <cellStyle name="_x000d__x000a_JournalTemplate=C:\COMFO\CTALK\JOURSTD.TPL_x000d__x000a_LbStateAddress=3 3 0 251 1 89 2 311_x000d__x000a_LbStateJou 3" xfId="4261"/>
    <cellStyle name="_x000d__x000a_JournalTemplate=C:\COMFO\CTALK\JOURSTD.TPL_x000d__x000a_LbStateAddress=3 3 0 251 1 89 2 311_x000d__x000a_LbStateJou 3 2" xfId="4278"/>
    <cellStyle name="_x000d__x000a_JournalTemplate=C:\COMFO\CTALK\JOURSTD.TPL_x000d__x000a_LbStateAddress=3 3 0 251 1 89 2 311_x000d__x000a_LbStateJou 4" xfId="4270"/>
    <cellStyle name="_x000d__x000a_JournalTemplate=C:\COMFO\CTALK\JOURSTD.TPL_x000d__x000a_LbStateAddress=3 3 0 251 1 89 2 311_x000d__x000a_LbStateJou 4 2" xfId="4279"/>
    <cellStyle name="_x000d__x000a_JournalTemplate=C:\COMFO\CTALK\JOURSTD.TPL_x000d__x000a_LbStateAddress=3 3 0 251 1 89 2 311_x000d__x000a_LbStateJou 5" xfId="4271"/>
    <cellStyle name="_x000d__x000a_JournalTemplate=C:\COMFO\CTALK\JOURSTD.TPL_x000d__x000a_LbStateAddress=3 3 0 251 1 89 2 311_x000d__x000a_LbStateJou_2_Mau Bieu De an 30a Nam Po (16-6-2014)" xfId="4280"/>
    <cellStyle name="#,##0" xfId="29"/>
    <cellStyle name="#,##0 2" xfId="30"/>
    <cellStyle name="." xfId="31"/>
    <cellStyle name=". 2" xfId="32"/>
    <cellStyle name=". 3" xfId="33"/>
    <cellStyle name=".d©y" xfId="34"/>
    <cellStyle name="??" xfId="35"/>
    <cellStyle name="?? [0.00]_ Att. 1- Cover" xfId="36"/>
    <cellStyle name="?? [0]" xfId="37"/>
    <cellStyle name="?? [0] 2" xfId="38"/>
    <cellStyle name="?? 2" xfId="39"/>
    <cellStyle name="?? 3" xfId="40"/>
    <cellStyle name="?? 4" xfId="41"/>
    <cellStyle name="?? 5" xfId="42"/>
    <cellStyle name="?? 6" xfId="43"/>
    <cellStyle name="?? 7" xfId="44"/>
    <cellStyle name="?_x001d_??%U©÷u&amp;H©÷9_x0008_? s_x000a__x0007__x0001__x0001_" xfId="45"/>
    <cellStyle name="?_x001d_??%U©÷u&amp;H©÷9_x0008_? s_x000a__x0007__x0001__x0001_ 10" xfId="46"/>
    <cellStyle name="?_x001d_??%U©÷u&amp;H©÷9_x0008_? s_x000a__x0007__x0001__x0001_ 11" xfId="47"/>
    <cellStyle name="?_x001d_??%U©÷u&amp;H©÷9_x0008_? s_x000a__x0007__x0001__x0001_ 12" xfId="48"/>
    <cellStyle name="?_x001d_??%U©÷u&amp;H©÷9_x0008_? s_x000a__x0007__x0001__x0001_ 13" xfId="49"/>
    <cellStyle name="?_x001d_??%U©÷u&amp;H©÷9_x0008_? s_x000a__x0007__x0001__x0001_ 14" xfId="50"/>
    <cellStyle name="?_x001d_??%U©÷u&amp;H©÷9_x0008_? s_x000a__x0007__x0001__x0001_ 15" xfId="51"/>
    <cellStyle name="?_x001d_??%U©÷u&amp;H©÷9_x0008_? s_x000a__x0007__x0001__x0001_ 2" xfId="52"/>
    <cellStyle name="?_x001d_??%U©÷u&amp;H©÷9_x0008_? s_x000a__x0007__x0001__x0001_ 3" xfId="53"/>
    <cellStyle name="?_x001d_??%U©÷u&amp;H©÷9_x0008_? s_x000a__x0007__x0001__x0001_ 4" xfId="54"/>
    <cellStyle name="?_x001d_??%U©÷u&amp;H©÷9_x0008_? s_x000a__x0007__x0001__x0001_ 5" xfId="55"/>
    <cellStyle name="?_x001d_??%U©÷u&amp;H©÷9_x0008_? s_x000a__x0007__x0001__x0001_ 6" xfId="56"/>
    <cellStyle name="?_x001d_??%U©÷u&amp;H©÷9_x0008_? s_x000a__x0007__x0001__x0001_ 7" xfId="57"/>
    <cellStyle name="?_x001d_??%U©÷u&amp;H©÷9_x0008_? s_x000a__x0007__x0001__x0001_ 8" xfId="58"/>
    <cellStyle name="?_x001d_??%U©÷u&amp;H©÷9_x0008_? s_x000a__x0007__x0001__x0001_ 9" xfId="59"/>
    <cellStyle name="???? [0.00]_      " xfId="60"/>
    <cellStyle name="??????" xfId="61"/>
    <cellStyle name="????_      " xfId="62"/>
    <cellStyle name="???[0]_?? DI" xfId="63"/>
    <cellStyle name="???_?? DI" xfId="64"/>
    <cellStyle name="??[0]_BRE" xfId="65"/>
    <cellStyle name="??_      " xfId="66"/>
    <cellStyle name="??A? [0]_laroux_1_¢¬???¢â? " xfId="67"/>
    <cellStyle name="??A?_laroux_1_¢¬???¢â? " xfId="68"/>
    <cellStyle name="?_x005f_x001d_??%U©÷u&amp;H©÷9_x005f_x0008_? s_x005f_x000a__x005f_x0007__x005f_x0001__x005f_x0001_" xfId="69"/>
    <cellStyle name="?_x005f_x001d_??%U©÷u&amp;H©÷9_x005f_x0008_?_x005f_x0009_s_x005f_x000a__x005f_x0007__x005f_x0001__x005f_x0001_" xfId="70"/>
    <cellStyle name="?_x005f_x005f_x005f_x001d_??%U©÷u&amp;H©÷9_x005f_x005f_x005f_x0008_? s_x005f_x005f_x005f_x000a__x005f_x005f_x005f_x0007__x005f_x005f_x005f_x0001__x005f_x005f_x005f_x0001_" xfId="71"/>
    <cellStyle name="?¡±¢¥?_?¨ù??¢´¢¥_¢¬???¢â? " xfId="72"/>
    <cellStyle name="?ðÇ%U?&amp;H?_x0008_?s_x000a__x0007__x0001__x0001_" xfId="73"/>
    <cellStyle name="?ðÇ%U?&amp;H?_x0008_?s_x000a__x0007__x0001__x0001_ 10" xfId="74"/>
    <cellStyle name="?ðÇ%U?&amp;H?_x0008_?s_x000a__x0007__x0001__x0001_ 11" xfId="75"/>
    <cellStyle name="?ðÇ%U?&amp;H?_x0008_?s_x000a__x0007__x0001__x0001_ 12" xfId="76"/>
    <cellStyle name="?ðÇ%U?&amp;H?_x0008_?s_x000a__x0007__x0001__x0001_ 13" xfId="77"/>
    <cellStyle name="?ðÇ%U?&amp;H?_x0008_?s_x000a__x0007__x0001__x0001_ 14" xfId="78"/>
    <cellStyle name="?ðÇ%U?&amp;H?_x0008_?s_x000a__x0007__x0001__x0001_ 15" xfId="79"/>
    <cellStyle name="?ðÇ%U?&amp;H?_x0008_?s_x000a__x0007__x0001__x0001_ 2" xfId="80"/>
    <cellStyle name="?ðÇ%U?&amp;H?_x0008_?s_x000a__x0007__x0001__x0001_ 3" xfId="81"/>
    <cellStyle name="?ðÇ%U?&amp;H?_x0008_?s_x000a__x0007__x0001__x0001_ 4" xfId="82"/>
    <cellStyle name="?ðÇ%U?&amp;H?_x0008_?s_x000a__x0007__x0001__x0001_ 5" xfId="83"/>
    <cellStyle name="?ðÇ%U?&amp;H?_x0008_?s_x000a__x0007__x0001__x0001_ 6" xfId="84"/>
    <cellStyle name="?ðÇ%U?&amp;H?_x0008_?s_x000a__x0007__x0001__x0001_ 7" xfId="85"/>
    <cellStyle name="?ðÇ%U?&amp;H?_x0008_?s_x000a__x0007__x0001__x0001_ 8" xfId="86"/>
    <cellStyle name="?ðÇ%U?&amp;H?_x0008_?s_x000a__x0007__x0001__x0001_ 9" xfId="87"/>
    <cellStyle name="?ðÇ%U?&amp;H?_x005f_x0008_?s_x005f_x000a__x005f_x0007__x005f_x0001__x005f_x0001_" xfId="88"/>
    <cellStyle name="@ET_Style?.font5" xfId="89"/>
    <cellStyle name="[0]_Chi phÝ kh¸c_V" xfId="90"/>
    <cellStyle name="_!1 1 bao cao giao KH ve HTCMT vung TNB   12-12-2011" xfId="91"/>
    <cellStyle name="_x0001__!1 1 bao cao giao KH ve HTCMT vung TNB   12-12-2011" xfId="92"/>
    <cellStyle name="_!1 1 bao cao giao KH ve HTCMT vung TNB   12-12-2011 2" xfId="4281"/>
    <cellStyle name="_1 TONG HOP - CA NA" xfId="93"/>
    <cellStyle name="_123_DONG_THANH_Moi" xfId="94"/>
    <cellStyle name="_123_DONG_THANH_Moi_!1 1 bao cao giao KH ve HTCMT vung TNB   12-12-2011" xfId="95"/>
    <cellStyle name="_123_DONG_THANH_Moi_KH TPCP vung TNB (03-1-2012)" xfId="96"/>
    <cellStyle name="_73118_79029" xfId="4282"/>
    <cellStyle name="_Bang Chi tieu (2)" xfId="97"/>
    <cellStyle name="_BAO GIA NGAY 24-10-08 (co dam)" xfId="98"/>
    <cellStyle name="_BC  NAM 2007" xfId="99"/>
    <cellStyle name="_BC CV 6403 BKHĐT" xfId="100"/>
    <cellStyle name="_BC thuc hien KH 2009" xfId="101"/>
    <cellStyle name="_BC thuc hien KH 2009_15_10_2013 BC nhu cau von doi ung ODA (2014-2016) ngay 15102013 Sua" xfId="102"/>
    <cellStyle name="_BC thuc hien KH 2009_BC nhu cau von doi ung ODA nganh NN (BKH)" xfId="103"/>
    <cellStyle name="_BC thuc hien KH 2009_BC nhu cau von doi ung ODA nganh NN (BKH)_05-12  KH trung han 2016-2020 - Liem Thinh edited" xfId="104"/>
    <cellStyle name="_BC thuc hien KH 2009_BC nhu cau von doi ung ODA nganh NN (BKH)_Copy of 05-12  KH trung han 2016-2020 - Liem Thinh edited (1)" xfId="105"/>
    <cellStyle name="_BC thuc hien KH 2009_BC Tai co cau (bieu TH)" xfId="106"/>
    <cellStyle name="_BC thuc hien KH 2009_BC Tai co cau (bieu TH)_05-12  KH trung han 2016-2020 - Liem Thinh edited" xfId="107"/>
    <cellStyle name="_BC thuc hien KH 2009_BC Tai co cau (bieu TH)_Copy of 05-12  KH trung han 2016-2020 - Liem Thinh edited (1)" xfId="108"/>
    <cellStyle name="_BC thuc hien KH 2009_DK 2014-2015 final" xfId="109"/>
    <cellStyle name="_BC thuc hien KH 2009_DK 2014-2015 final_05-12  KH trung han 2016-2020 - Liem Thinh edited" xfId="110"/>
    <cellStyle name="_BC thuc hien KH 2009_DK 2014-2015 final_Copy of 05-12  KH trung han 2016-2020 - Liem Thinh edited (1)" xfId="111"/>
    <cellStyle name="_BC thuc hien KH 2009_DK 2014-2015 new" xfId="112"/>
    <cellStyle name="_BC thuc hien KH 2009_DK 2014-2015 new_05-12  KH trung han 2016-2020 - Liem Thinh edited" xfId="113"/>
    <cellStyle name="_BC thuc hien KH 2009_DK 2014-2015 new_Copy of 05-12  KH trung han 2016-2020 - Liem Thinh edited (1)" xfId="114"/>
    <cellStyle name="_BC thuc hien KH 2009_DK KH CBDT 2014 11-11-2013" xfId="115"/>
    <cellStyle name="_BC thuc hien KH 2009_DK KH CBDT 2014 11-11-2013(1)" xfId="116"/>
    <cellStyle name="_BC thuc hien KH 2009_DK KH CBDT 2014 11-11-2013(1)_05-12  KH trung han 2016-2020 - Liem Thinh edited" xfId="117"/>
    <cellStyle name="_BC thuc hien KH 2009_DK KH CBDT 2014 11-11-2013(1)_Copy of 05-12  KH trung han 2016-2020 - Liem Thinh edited (1)" xfId="118"/>
    <cellStyle name="_BC thuc hien KH 2009_DK KH CBDT 2014 11-11-2013_05-12  KH trung han 2016-2020 - Liem Thinh edited" xfId="119"/>
    <cellStyle name="_BC thuc hien KH 2009_DK KH CBDT 2014 11-11-2013_Copy of 05-12  KH trung han 2016-2020 - Liem Thinh edited (1)" xfId="120"/>
    <cellStyle name="_BC thuc hien KH 2009_KH 2011-2015" xfId="121"/>
    <cellStyle name="_BC thuc hien KH 2009_tai co cau dau tu (tong hop)1" xfId="122"/>
    <cellStyle name="_BEN TRE" xfId="123"/>
    <cellStyle name="_Bieu mau cong trinh khoi cong moi 3-4" xfId="124"/>
    <cellStyle name="_Bieu Tay Nam Bo 25-11" xfId="125"/>
    <cellStyle name="_Bieu3ODA" xfId="126"/>
    <cellStyle name="_Bieu3ODA_1" xfId="127"/>
    <cellStyle name="_Bieu4HTMT" xfId="128"/>
    <cellStyle name="_Bieu4HTMT_!1 1 bao cao giao KH ve HTCMT vung TNB   12-12-2011" xfId="129"/>
    <cellStyle name="_Bieu4HTMT_KH TPCP vung TNB (03-1-2012)" xfId="130"/>
    <cellStyle name="_Book1" xfId="131"/>
    <cellStyle name="_Book1 2" xfId="132"/>
    <cellStyle name="_Book1_!1 1 bao cao giao KH ve HTCMT vung TNB   12-12-2011" xfId="133"/>
    <cellStyle name="_Book1_1" xfId="134"/>
    <cellStyle name="_Book1_BC-QT-WB-dthao" xfId="135"/>
    <cellStyle name="_Book1_BC-QT-WB-dthao_05-12  KH trung han 2016-2020 - Liem Thinh edited" xfId="136"/>
    <cellStyle name="_Book1_BC-QT-WB-dthao_Copy of 05-12  KH trung han 2016-2020 - Liem Thinh edited (1)" xfId="137"/>
    <cellStyle name="_Book1_BC-QT-WB-dthao_KH TPCP 2016-2020 (tong hop)" xfId="138"/>
    <cellStyle name="_Book1_Bieu3ODA" xfId="139"/>
    <cellStyle name="_Book1_Bieu4HTMT" xfId="140"/>
    <cellStyle name="_Book1_Bieu4HTMT_!1 1 bao cao giao KH ve HTCMT vung TNB   12-12-2011" xfId="141"/>
    <cellStyle name="_Book1_Bieu4HTMT_KH TPCP vung TNB (03-1-2012)" xfId="142"/>
    <cellStyle name="_Book1_bo sung von KCH nam 2010 va Du an tre kho khan" xfId="143"/>
    <cellStyle name="_Book1_bo sung von KCH nam 2010 va Du an tre kho khan_!1 1 bao cao giao KH ve HTCMT vung TNB   12-12-2011" xfId="144"/>
    <cellStyle name="_Book1_bo sung von KCH nam 2010 va Du an tre kho khan_KH TPCP vung TNB (03-1-2012)" xfId="145"/>
    <cellStyle name="_Book1_cong hang rao" xfId="146"/>
    <cellStyle name="_Book1_cong hang rao_!1 1 bao cao giao KH ve HTCMT vung TNB   12-12-2011" xfId="147"/>
    <cellStyle name="_Book1_cong hang rao_KH TPCP vung TNB (03-1-2012)" xfId="148"/>
    <cellStyle name="_Book1_danh muc chuan bi dau tu 2011 ngay 07-6-2011" xfId="149"/>
    <cellStyle name="_Book1_danh muc chuan bi dau tu 2011 ngay 07-6-2011_!1 1 bao cao giao KH ve HTCMT vung TNB   12-12-2011" xfId="150"/>
    <cellStyle name="_Book1_danh muc chuan bi dau tu 2011 ngay 07-6-2011_KH TPCP vung TNB (03-1-2012)" xfId="151"/>
    <cellStyle name="_Book1_Danh muc pbo nguon von XSKT, XDCB nam 2009 chuyen qua nam 2010" xfId="152"/>
    <cellStyle name="_Book1_Danh muc pbo nguon von XSKT, XDCB nam 2009 chuyen qua nam 2010_!1 1 bao cao giao KH ve HTCMT vung TNB   12-12-2011" xfId="153"/>
    <cellStyle name="_Book1_Danh muc pbo nguon von XSKT, XDCB nam 2009 chuyen qua nam 2010_KH TPCP vung TNB (03-1-2012)" xfId="154"/>
    <cellStyle name="_Book1_dieu chinh KH 2011 ngay 26-5-2011111" xfId="155"/>
    <cellStyle name="_Book1_dieu chinh KH 2011 ngay 26-5-2011111_!1 1 bao cao giao KH ve HTCMT vung TNB   12-12-2011" xfId="156"/>
    <cellStyle name="_Book1_dieu chinh KH 2011 ngay 26-5-2011111_KH TPCP vung TNB (03-1-2012)" xfId="157"/>
    <cellStyle name="_Book1_DS KCH PHAN BO VON NSDP NAM 2010" xfId="158"/>
    <cellStyle name="_Book1_DS KCH PHAN BO VON NSDP NAM 2010_!1 1 bao cao giao KH ve HTCMT vung TNB   12-12-2011" xfId="159"/>
    <cellStyle name="_Book1_DS KCH PHAN BO VON NSDP NAM 2010_KH TPCP vung TNB (03-1-2012)" xfId="160"/>
    <cellStyle name="_Book1_giao KH 2011 ngay 10-12-2010" xfId="161"/>
    <cellStyle name="_Book1_giao KH 2011 ngay 10-12-2010_!1 1 bao cao giao KH ve HTCMT vung TNB   12-12-2011" xfId="162"/>
    <cellStyle name="_Book1_giao KH 2011 ngay 10-12-2010_KH TPCP vung TNB (03-1-2012)" xfId="163"/>
    <cellStyle name="_Book1_IN" xfId="164"/>
    <cellStyle name="_Book1_kien giang 2" xfId="165"/>
    <cellStyle name="_Book1_Kh ql62 (2010) 11-09" xfId="166"/>
    <cellStyle name="_Book1_KH TPCP vung TNB (03-1-2012)" xfId="167"/>
    <cellStyle name="_Book1_Khung 2012" xfId="168"/>
    <cellStyle name="_Book1_phu luc tong ket tinh hinh TH giai doan 03-10 (ngay 30)" xfId="169"/>
    <cellStyle name="_Book1_phu luc tong ket tinh hinh TH giai doan 03-10 (ngay 30)_!1 1 bao cao giao KH ve HTCMT vung TNB   12-12-2011" xfId="170"/>
    <cellStyle name="_Book1_phu luc tong ket tinh hinh TH giai doan 03-10 (ngay 30)_KH TPCP vung TNB (03-1-2012)" xfId="171"/>
    <cellStyle name="_C.cong+B.luong-Sanluong" xfId="172"/>
    <cellStyle name="_cong hang rao" xfId="173"/>
    <cellStyle name="_dien chieu sang" xfId="174"/>
    <cellStyle name="_DK KH 2009" xfId="175"/>
    <cellStyle name="_DK KH 2009_15_10_2013 BC nhu cau von doi ung ODA (2014-2016) ngay 15102013 Sua" xfId="176"/>
    <cellStyle name="_DK KH 2009_BC nhu cau von doi ung ODA nganh NN (BKH)" xfId="177"/>
    <cellStyle name="_DK KH 2009_BC nhu cau von doi ung ODA nganh NN (BKH)_05-12  KH trung han 2016-2020 - Liem Thinh edited" xfId="178"/>
    <cellStyle name="_DK KH 2009_BC nhu cau von doi ung ODA nganh NN (BKH)_Copy of 05-12  KH trung han 2016-2020 - Liem Thinh edited (1)" xfId="179"/>
    <cellStyle name="_DK KH 2009_BC Tai co cau (bieu TH)" xfId="180"/>
    <cellStyle name="_DK KH 2009_BC Tai co cau (bieu TH)_05-12  KH trung han 2016-2020 - Liem Thinh edited" xfId="181"/>
    <cellStyle name="_DK KH 2009_BC Tai co cau (bieu TH)_Copy of 05-12  KH trung han 2016-2020 - Liem Thinh edited (1)" xfId="182"/>
    <cellStyle name="_DK KH 2009_DK 2014-2015 final" xfId="183"/>
    <cellStyle name="_DK KH 2009_DK 2014-2015 final_05-12  KH trung han 2016-2020 - Liem Thinh edited" xfId="184"/>
    <cellStyle name="_DK KH 2009_DK 2014-2015 final_Copy of 05-12  KH trung han 2016-2020 - Liem Thinh edited (1)" xfId="185"/>
    <cellStyle name="_DK KH 2009_DK 2014-2015 new" xfId="186"/>
    <cellStyle name="_DK KH 2009_DK 2014-2015 new_05-12  KH trung han 2016-2020 - Liem Thinh edited" xfId="187"/>
    <cellStyle name="_DK KH 2009_DK 2014-2015 new_Copy of 05-12  KH trung han 2016-2020 - Liem Thinh edited (1)" xfId="188"/>
    <cellStyle name="_DK KH 2009_DK KH CBDT 2014 11-11-2013" xfId="189"/>
    <cellStyle name="_DK KH 2009_DK KH CBDT 2014 11-11-2013(1)" xfId="190"/>
    <cellStyle name="_DK KH 2009_DK KH CBDT 2014 11-11-2013(1)_05-12  KH trung han 2016-2020 - Liem Thinh edited" xfId="191"/>
    <cellStyle name="_DK KH 2009_DK KH CBDT 2014 11-11-2013(1)_Copy of 05-12  KH trung han 2016-2020 - Liem Thinh edited (1)" xfId="192"/>
    <cellStyle name="_DK KH 2009_DK KH CBDT 2014 11-11-2013_05-12  KH trung han 2016-2020 - Liem Thinh edited" xfId="193"/>
    <cellStyle name="_DK KH 2009_DK KH CBDT 2014 11-11-2013_Copy of 05-12  KH trung han 2016-2020 - Liem Thinh edited (1)" xfId="194"/>
    <cellStyle name="_DK KH 2009_KH 2011-2015" xfId="195"/>
    <cellStyle name="_DK KH 2009_tai co cau dau tu (tong hop)1" xfId="196"/>
    <cellStyle name="_DK KH 2010" xfId="197"/>
    <cellStyle name="_DK KH 2010 (BKH)" xfId="198"/>
    <cellStyle name="_DK KH 2010_15_10_2013 BC nhu cau von doi ung ODA (2014-2016) ngay 15102013 Sua" xfId="199"/>
    <cellStyle name="_DK KH 2010_BC nhu cau von doi ung ODA nganh NN (BKH)" xfId="200"/>
    <cellStyle name="_DK KH 2010_BC nhu cau von doi ung ODA nganh NN (BKH)_05-12  KH trung han 2016-2020 - Liem Thinh edited" xfId="201"/>
    <cellStyle name="_DK KH 2010_BC nhu cau von doi ung ODA nganh NN (BKH)_Copy of 05-12  KH trung han 2016-2020 - Liem Thinh edited (1)" xfId="202"/>
    <cellStyle name="_DK KH 2010_BC Tai co cau (bieu TH)" xfId="203"/>
    <cellStyle name="_DK KH 2010_BC Tai co cau (bieu TH)_05-12  KH trung han 2016-2020 - Liem Thinh edited" xfId="204"/>
    <cellStyle name="_DK KH 2010_BC Tai co cau (bieu TH)_Copy of 05-12  KH trung han 2016-2020 - Liem Thinh edited (1)" xfId="205"/>
    <cellStyle name="_DK KH 2010_DK 2014-2015 final" xfId="206"/>
    <cellStyle name="_DK KH 2010_DK 2014-2015 final_05-12  KH trung han 2016-2020 - Liem Thinh edited" xfId="207"/>
    <cellStyle name="_DK KH 2010_DK 2014-2015 final_Copy of 05-12  KH trung han 2016-2020 - Liem Thinh edited (1)" xfId="208"/>
    <cellStyle name="_DK KH 2010_DK 2014-2015 new" xfId="209"/>
    <cellStyle name="_DK KH 2010_DK 2014-2015 new_05-12  KH trung han 2016-2020 - Liem Thinh edited" xfId="210"/>
    <cellStyle name="_DK KH 2010_DK 2014-2015 new_Copy of 05-12  KH trung han 2016-2020 - Liem Thinh edited (1)" xfId="211"/>
    <cellStyle name="_DK KH 2010_DK KH CBDT 2014 11-11-2013" xfId="212"/>
    <cellStyle name="_DK KH 2010_DK KH CBDT 2014 11-11-2013(1)" xfId="213"/>
    <cellStyle name="_DK KH 2010_DK KH CBDT 2014 11-11-2013(1)_05-12  KH trung han 2016-2020 - Liem Thinh edited" xfId="214"/>
    <cellStyle name="_DK KH 2010_DK KH CBDT 2014 11-11-2013(1)_Copy of 05-12  KH trung han 2016-2020 - Liem Thinh edited (1)" xfId="215"/>
    <cellStyle name="_DK KH 2010_DK KH CBDT 2014 11-11-2013_05-12  KH trung han 2016-2020 - Liem Thinh edited" xfId="216"/>
    <cellStyle name="_DK KH 2010_DK KH CBDT 2014 11-11-2013_Copy of 05-12  KH trung han 2016-2020 - Liem Thinh edited (1)" xfId="217"/>
    <cellStyle name="_DK KH 2010_KH 2011-2015" xfId="218"/>
    <cellStyle name="_DK KH 2010_tai co cau dau tu (tong hop)1" xfId="219"/>
    <cellStyle name="_DK TPCP 2010" xfId="220"/>
    <cellStyle name="_DO-D1500-KHONG CO TRONG DT" xfId="221"/>
    <cellStyle name="_Dong Thap" xfId="222"/>
    <cellStyle name="_Duyet TK thay đôi" xfId="223"/>
    <cellStyle name="_Duyet TK thay đôi_!1 1 bao cao giao KH ve HTCMT vung TNB   12-12-2011" xfId="224"/>
    <cellStyle name="_Duyet TK thay đôi_Bieu4HTMT" xfId="225"/>
    <cellStyle name="_Duyet TK thay đôi_Bieu4HTMT_!1 1 bao cao giao KH ve HTCMT vung TNB   12-12-2011" xfId="226"/>
    <cellStyle name="_Duyet TK thay đôi_Bieu4HTMT_KH TPCP vung TNB (03-1-2012)" xfId="227"/>
    <cellStyle name="_Duyet TK thay đôi_KH TPCP vung TNB (03-1-2012)" xfId="228"/>
    <cellStyle name="_GOITHAUSO2" xfId="229"/>
    <cellStyle name="_GOITHAUSO3" xfId="230"/>
    <cellStyle name="_GOITHAUSO4" xfId="231"/>
    <cellStyle name="_GTGT 2003" xfId="232"/>
    <cellStyle name="_Gui VU KH 5-5-09" xfId="233"/>
    <cellStyle name="_Gui VU KH 5-5-09_05-12  KH trung han 2016-2020 - Liem Thinh edited" xfId="234"/>
    <cellStyle name="_Gui VU KH 5-5-09_Copy of 05-12  KH trung han 2016-2020 - Liem Thinh edited (1)" xfId="235"/>
    <cellStyle name="_Gui VU KH 5-5-09_KH TPCP 2016-2020 (tong hop)" xfId="236"/>
    <cellStyle name="_HaHoa_TDT_DienCSang" xfId="237"/>
    <cellStyle name="_HaHoa19-5-07" xfId="238"/>
    <cellStyle name="_IN" xfId="239"/>
    <cellStyle name="_IN_!1 1 bao cao giao KH ve HTCMT vung TNB   12-12-2011" xfId="240"/>
    <cellStyle name="_IN_KH TPCP vung TNB (03-1-2012)" xfId="241"/>
    <cellStyle name="_KE KHAI THUE GTGT 2004" xfId="242"/>
    <cellStyle name="_KE KHAI THUE GTGT 2004_BCTC2004" xfId="243"/>
    <cellStyle name="_x0001__kien giang 2" xfId="244"/>
    <cellStyle name="_KT (2)" xfId="245"/>
    <cellStyle name="_KT (2) 2" xfId="246"/>
    <cellStyle name="_KT (2)_05-12  KH trung han 2016-2020 - Liem Thinh edited" xfId="247"/>
    <cellStyle name="_KT (2)_1" xfId="248"/>
    <cellStyle name="_KT (2)_1 2" xfId="249"/>
    <cellStyle name="_KT (2)_1_05-12  KH trung han 2016-2020 - Liem Thinh edited" xfId="250"/>
    <cellStyle name="_KT (2)_1_Copy of 05-12  KH trung han 2016-2020 - Liem Thinh edited (1)" xfId="251"/>
    <cellStyle name="_KT (2)_1_KH TPCP 2016-2020 (tong hop)" xfId="252"/>
    <cellStyle name="_KT (2)_1_Lora-tungchau" xfId="253"/>
    <cellStyle name="_KT (2)_1_Lora-tungchau 2" xfId="254"/>
    <cellStyle name="_KT (2)_1_Lora-tungchau_05-12  KH trung han 2016-2020 - Liem Thinh edited" xfId="255"/>
    <cellStyle name="_KT (2)_1_Lora-tungchau_Copy of 05-12  KH trung han 2016-2020 - Liem Thinh edited (1)" xfId="256"/>
    <cellStyle name="_KT (2)_1_Lora-tungchau_KH TPCP 2016-2020 (tong hop)" xfId="257"/>
    <cellStyle name="_KT (2)_1_Qt-HT3PQ1(CauKho)" xfId="258"/>
    <cellStyle name="_KT (2)_2" xfId="259"/>
    <cellStyle name="_KT (2)_2_TG-TH" xfId="260"/>
    <cellStyle name="_KT (2)_2_TG-TH 2" xfId="261"/>
    <cellStyle name="_KT (2)_2_TG-TH_05-12  KH trung han 2016-2020 - Liem Thinh edited" xfId="262"/>
    <cellStyle name="_KT (2)_2_TG-TH_ApGiaVatTu_cayxanh_latgach" xfId="263"/>
    <cellStyle name="_KT (2)_2_TG-TH_BANG TONG HOP TINH HINH THANH QUYET TOAN (MOI I)" xfId="264"/>
    <cellStyle name="_KT (2)_2_TG-TH_BANG TONG HOP TINH HINH THANH QUYET TOAN (MOI I) 2" xfId="4283"/>
    <cellStyle name="_KT (2)_2_TG-TH_BAO CAO KLCT PT2000" xfId="265"/>
    <cellStyle name="_KT (2)_2_TG-TH_BAO CAO PT2000" xfId="266"/>
    <cellStyle name="_KT (2)_2_TG-TH_BAO CAO PT2000_Book1" xfId="267"/>
    <cellStyle name="_KT (2)_2_TG-TH_Bao cao XDCB 2001 - T11 KH dieu chinh 20-11-THAI" xfId="268"/>
    <cellStyle name="_KT (2)_2_TG-TH_BAO GIA NGAY 24-10-08 (co dam)" xfId="269"/>
    <cellStyle name="_KT (2)_2_TG-TH_BAO GIA NGAY 24-10-08 (co dam) 2" xfId="4284"/>
    <cellStyle name="_KT (2)_2_TG-TH_BC  NAM 2007" xfId="270"/>
    <cellStyle name="_KT (2)_2_TG-TH_BC CV 6403 BKHĐT" xfId="271"/>
    <cellStyle name="_KT (2)_2_TG-TH_BC CV 6403 BKHĐT 2" xfId="4285"/>
    <cellStyle name="_KT (2)_2_TG-TH_BC NQ11-CP - chinh sua lai" xfId="272"/>
    <cellStyle name="_KT (2)_2_TG-TH_BC NQ11-CP-Quynh sau bieu so3" xfId="273"/>
    <cellStyle name="_KT (2)_2_TG-TH_BC_NQ11-CP_-_Thao_sua_lai" xfId="274"/>
    <cellStyle name="_KT (2)_2_TG-TH_Bieu mau cong trinh khoi cong moi 3-4" xfId="275"/>
    <cellStyle name="_KT (2)_2_TG-TH_Bieu mau cong trinh khoi cong moi 3-4 2" xfId="4286"/>
    <cellStyle name="_KT (2)_2_TG-TH_Bieu3ODA" xfId="276"/>
    <cellStyle name="_KT (2)_2_TG-TH_Bieu3ODA_1" xfId="277"/>
    <cellStyle name="_KT (2)_2_TG-TH_Bieu4HTMT" xfId="278"/>
    <cellStyle name="_KT (2)_2_TG-TH_Bieu4HTMT 2" xfId="4287"/>
    <cellStyle name="_KT (2)_2_TG-TH_bo sung von KCH nam 2010 va Du an tre kho khan" xfId="279"/>
    <cellStyle name="_KT (2)_2_TG-TH_bo sung von KCH nam 2010 va Du an tre kho khan 2" xfId="4288"/>
    <cellStyle name="_KT (2)_2_TG-TH_Book1" xfId="280"/>
    <cellStyle name="_KT (2)_2_TG-TH_Book1 2" xfId="281"/>
    <cellStyle name="_KT (2)_2_TG-TH_Book1_1" xfId="282"/>
    <cellStyle name="_KT (2)_2_TG-TH_Book1_1 2" xfId="283"/>
    <cellStyle name="_KT (2)_2_TG-TH_Book1_1 3" xfId="4289"/>
    <cellStyle name="_KT (2)_2_TG-TH_Book1_1_BC CV 6403 BKHĐT" xfId="284"/>
    <cellStyle name="_KT (2)_2_TG-TH_Book1_1_BC CV 6403 BKHĐT 2" xfId="4290"/>
    <cellStyle name="_KT (2)_2_TG-TH_Book1_1_Bieu mau cong trinh khoi cong moi 3-4" xfId="285"/>
    <cellStyle name="_KT (2)_2_TG-TH_Book1_1_Bieu mau cong trinh khoi cong moi 3-4 2" xfId="4291"/>
    <cellStyle name="_KT (2)_2_TG-TH_Book1_1_Bieu3ODA" xfId="286"/>
    <cellStyle name="_KT (2)_2_TG-TH_Book1_1_Bieu3ODA 2" xfId="4292"/>
    <cellStyle name="_KT (2)_2_TG-TH_Book1_1_Bieu4HTMT" xfId="287"/>
    <cellStyle name="_KT (2)_2_TG-TH_Book1_1_Bieu4HTMT 2" xfId="4293"/>
    <cellStyle name="_KT (2)_2_TG-TH_Book1_1_Book1" xfId="288"/>
    <cellStyle name="_KT (2)_2_TG-TH_Book1_1_Luy ke von ung nam 2011 -Thoa gui ngay 12-8-2012" xfId="289"/>
    <cellStyle name="_KT (2)_2_TG-TH_Book1_1_Luy ke von ung nam 2011 -Thoa gui ngay 12-8-2012 2" xfId="4294"/>
    <cellStyle name="_KT (2)_2_TG-TH_Book1_2" xfId="290"/>
    <cellStyle name="_KT (2)_2_TG-TH_Book1_2 2" xfId="291"/>
    <cellStyle name="_KT (2)_2_TG-TH_Book1_2_BC CV 6403 BKHĐT" xfId="292"/>
    <cellStyle name="_KT (2)_2_TG-TH_Book1_2_Bieu3ODA" xfId="293"/>
    <cellStyle name="_KT (2)_2_TG-TH_Book1_2_Luy ke von ung nam 2011 -Thoa gui ngay 12-8-2012" xfId="294"/>
    <cellStyle name="_KT (2)_2_TG-TH_Book1_3" xfId="295"/>
    <cellStyle name="_KT (2)_2_TG-TH_Book1_3 2" xfId="296"/>
    <cellStyle name="_KT (2)_2_TG-TH_Book1_BC CV 6403 BKHĐT" xfId="297"/>
    <cellStyle name="_KT (2)_2_TG-TH_Book1_Bieu mau cong trinh khoi cong moi 3-4" xfId="298"/>
    <cellStyle name="_KT (2)_2_TG-TH_Book1_Bieu3ODA" xfId="299"/>
    <cellStyle name="_KT (2)_2_TG-TH_Book1_Bieu4HTMT" xfId="300"/>
    <cellStyle name="_KT (2)_2_TG-TH_Book1_bo sung von KCH nam 2010 va Du an tre kho khan" xfId="301"/>
    <cellStyle name="_KT (2)_2_TG-TH_Book1_Book1" xfId="302"/>
    <cellStyle name="_KT (2)_2_TG-TH_Book1_danh muc chuan bi dau tu 2011 ngay 07-6-2011" xfId="303"/>
    <cellStyle name="_KT (2)_2_TG-TH_Book1_Danh muc pbo nguon von XSKT, XDCB nam 2009 chuyen qua nam 2010" xfId="304"/>
    <cellStyle name="_KT (2)_2_TG-TH_Book1_dieu chinh KH 2011 ngay 26-5-2011111" xfId="305"/>
    <cellStyle name="_KT (2)_2_TG-TH_Book1_DS KCH PHAN BO VON NSDP NAM 2010" xfId="306"/>
    <cellStyle name="_KT (2)_2_TG-TH_Book1_giao KH 2011 ngay 10-12-2010" xfId="307"/>
    <cellStyle name="_KT (2)_2_TG-TH_Book1_Luy ke von ung nam 2011 -Thoa gui ngay 12-8-2012" xfId="308"/>
    <cellStyle name="_KT (2)_2_TG-TH_CAU Khanh Nam(Thi Cong)" xfId="309"/>
    <cellStyle name="_KT (2)_2_TG-TH_CAU Khanh Nam(Thi Cong) 2" xfId="4295"/>
    <cellStyle name="_KT (2)_2_TG-TH_CoCauPhi (version 1)" xfId="310"/>
    <cellStyle name="_KT (2)_2_TG-TH_Copy of 05-12  KH trung han 2016-2020 - Liem Thinh edited (1)" xfId="311"/>
    <cellStyle name="_KT (2)_2_TG-TH_ChiHuong_ApGia" xfId="312"/>
    <cellStyle name="_KT (2)_2_TG-TH_ChiHuong_ApGia 2" xfId="4296"/>
    <cellStyle name="_KT (2)_2_TG-TH_danh muc chuan bi dau tu 2011 ngay 07-6-2011" xfId="313"/>
    <cellStyle name="_KT (2)_2_TG-TH_Danh muc pbo nguon von XSKT, XDCB nam 2009 chuyen qua nam 2010" xfId="314"/>
    <cellStyle name="_KT (2)_2_TG-TH_Danh muc pbo nguon von XSKT, XDCB nam 2009 chuyen qua nam 2010 2" xfId="4297"/>
    <cellStyle name="_KT (2)_2_TG-TH_DAU NOI PL-CL TAI PHU LAMHC" xfId="315"/>
    <cellStyle name="_KT (2)_2_TG-TH_dieu chinh KH 2011 ngay 26-5-2011111" xfId="316"/>
    <cellStyle name="_KT (2)_2_TG-TH_DS KCH PHAN BO VON NSDP NAM 2010" xfId="317"/>
    <cellStyle name="_KT (2)_2_TG-TH_DS KCH PHAN BO VON NSDP NAM 2010 2" xfId="4298"/>
    <cellStyle name="_KT (2)_2_TG-TH_DTCDT MR.2N110.HOCMON.TDTOAN.CCUNG" xfId="318"/>
    <cellStyle name="_KT (2)_2_TG-TH_DU TRU VAT TU" xfId="319"/>
    <cellStyle name="_KT (2)_2_TG-TH_DU TRU VAT TU 2" xfId="4299"/>
    <cellStyle name="_KT (2)_2_TG-TH_GTGT 2003" xfId="320"/>
    <cellStyle name="_KT (2)_2_TG-TH_giao KH 2011 ngay 10-12-2010" xfId="321"/>
    <cellStyle name="_KT (2)_2_TG-TH_KE KHAI THUE GTGT 2004" xfId="322"/>
    <cellStyle name="_KT (2)_2_TG-TH_KE KHAI THUE GTGT 2004 2" xfId="4300"/>
    <cellStyle name="_KT (2)_2_TG-TH_KE KHAI THUE GTGT 2004_BCTC2004" xfId="323"/>
    <cellStyle name="_KT (2)_2_TG-TH_kien giang 2" xfId="324"/>
    <cellStyle name="_KT (2)_2_TG-TH_KH TPCP 2016-2020 (tong hop)" xfId="325"/>
    <cellStyle name="_KT (2)_2_TG-TH_KH TPCP vung TNB (03-1-2012)" xfId="326"/>
    <cellStyle name="_KT (2)_2_TG-TH_Lora-tungchau" xfId="327"/>
    <cellStyle name="_KT (2)_2_TG-TH_Luy ke von ung nam 2011 -Thoa gui ngay 12-8-2012" xfId="328"/>
    <cellStyle name="_KT (2)_2_TG-TH_Luy ke von ung nam 2011 -Thoa gui ngay 12-8-2012 2" xfId="4301"/>
    <cellStyle name="_KT (2)_2_TG-TH_N-X-T-04" xfId="329"/>
    <cellStyle name="_KT (2)_2_TG-TH_NhanCong" xfId="330"/>
    <cellStyle name="_KT (2)_2_TG-TH_PGIA-phieu tham tra Kho bac" xfId="331"/>
    <cellStyle name="_KT (2)_2_TG-TH_PT02-02" xfId="332"/>
    <cellStyle name="_KT (2)_2_TG-TH_PT02-02_Book1" xfId="333"/>
    <cellStyle name="_KT (2)_2_TG-TH_PT02-03" xfId="334"/>
    <cellStyle name="_KT (2)_2_TG-TH_PT02-03_Book1" xfId="335"/>
    <cellStyle name="_KT (2)_2_TG-TH_phu luc tong ket tinh hinh TH giai doan 03-10 (ngay 30)" xfId="336"/>
    <cellStyle name="_KT (2)_2_TG-TH_phu luc tong ket tinh hinh TH giai doan 03-10 (ngay 30) 2" xfId="4302"/>
    <cellStyle name="_KT (2)_2_TG-TH_Qt-HT3PQ1(CauKho)" xfId="337"/>
    <cellStyle name="_KT (2)_2_TG-TH_Sheet1" xfId="338"/>
    <cellStyle name="_KT (2)_2_TG-TH_TK152-04" xfId="339"/>
    <cellStyle name="_KT (2)_2_TG-TH_ÿÿÿÿÿ" xfId="340"/>
    <cellStyle name="_KT (2)_2_TG-TH_ÿÿÿÿÿ 2" xfId="4303"/>
    <cellStyle name="_KT (2)_2_TG-TH_ÿÿÿÿÿ_Bieu mau cong trinh khoi cong moi 3-4" xfId="341"/>
    <cellStyle name="_KT (2)_2_TG-TH_ÿÿÿÿÿ_Bieu mau cong trinh khoi cong moi 3-4 2" xfId="4304"/>
    <cellStyle name="_KT (2)_2_TG-TH_ÿÿÿÿÿ_Bieu3ODA" xfId="342"/>
    <cellStyle name="_KT (2)_2_TG-TH_ÿÿÿÿÿ_Bieu3ODA 2" xfId="4305"/>
    <cellStyle name="_KT (2)_2_TG-TH_ÿÿÿÿÿ_Bieu4HTMT" xfId="343"/>
    <cellStyle name="_KT (2)_2_TG-TH_ÿÿÿÿÿ_Bieu4HTMT 2" xfId="4306"/>
    <cellStyle name="_KT (2)_2_TG-TH_ÿÿÿÿÿ_kien giang 2" xfId="344"/>
    <cellStyle name="_KT (2)_2_TG-TH_ÿÿÿÿÿ_KH TPCP vung TNB (03-1-2012)" xfId="345"/>
    <cellStyle name="_KT (2)_3" xfId="346"/>
    <cellStyle name="_KT (2)_3_TG-TH" xfId="347"/>
    <cellStyle name="_KT (2)_3_TG-TH 2" xfId="348"/>
    <cellStyle name="_KT (2)_3_TG-TH_05-12  KH trung han 2016-2020 - Liem Thinh edited" xfId="349"/>
    <cellStyle name="_KT (2)_3_TG-TH_BC  NAM 2007" xfId="350"/>
    <cellStyle name="_KT (2)_3_TG-TH_Bieu mau cong trinh khoi cong moi 3-4" xfId="351"/>
    <cellStyle name="_KT (2)_3_TG-TH_Bieu3ODA" xfId="352"/>
    <cellStyle name="_KT (2)_3_TG-TH_Bieu3ODA_1" xfId="353"/>
    <cellStyle name="_KT (2)_3_TG-TH_Bieu4HTMT" xfId="354"/>
    <cellStyle name="_KT (2)_3_TG-TH_bo sung von KCH nam 2010 va Du an tre kho khan" xfId="355"/>
    <cellStyle name="_KT (2)_3_TG-TH_Book1" xfId="356"/>
    <cellStyle name="_KT (2)_3_TG-TH_Book1 2" xfId="357"/>
    <cellStyle name="_KT (2)_3_TG-TH_Book1_BC-QT-WB-dthao" xfId="358"/>
    <cellStyle name="_KT (2)_3_TG-TH_Book1_BC-QT-WB-dthao_05-12  KH trung han 2016-2020 - Liem Thinh edited" xfId="359"/>
    <cellStyle name="_KT (2)_3_TG-TH_Book1_BC-QT-WB-dthao_Copy of 05-12  KH trung han 2016-2020 - Liem Thinh edited (1)" xfId="360"/>
    <cellStyle name="_KT (2)_3_TG-TH_Book1_BC-QT-WB-dthao_KH TPCP 2016-2020 (tong hop)" xfId="361"/>
    <cellStyle name="_KT (2)_3_TG-TH_Book1_kien giang 2" xfId="362"/>
    <cellStyle name="_KT (2)_3_TG-TH_Book1_KH TPCP vung TNB (03-1-2012)" xfId="363"/>
    <cellStyle name="_KT (2)_3_TG-TH_Copy of 05-12  KH trung han 2016-2020 - Liem Thinh edited (1)" xfId="364"/>
    <cellStyle name="_KT (2)_3_TG-TH_danh muc chuan bi dau tu 2011 ngay 07-6-2011" xfId="365"/>
    <cellStyle name="_KT (2)_3_TG-TH_Danh muc pbo nguon von XSKT, XDCB nam 2009 chuyen qua nam 2010" xfId="366"/>
    <cellStyle name="_KT (2)_3_TG-TH_dieu chinh KH 2011 ngay 26-5-2011111" xfId="367"/>
    <cellStyle name="_KT (2)_3_TG-TH_DS KCH PHAN BO VON NSDP NAM 2010" xfId="368"/>
    <cellStyle name="_KT (2)_3_TG-TH_GTGT 2003" xfId="369"/>
    <cellStyle name="_KT (2)_3_TG-TH_giao KH 2011 ngay 10-12-2010" xfId="370"/>
    <cellStyle name="_KT (2)_3_TG-TH_KE KHAI THUE GTGT 2004" xfId="371"/>
    <cellStyle name="_KT (2)_3_TG-TH_KE KHAI THUE GTGT 2004_BCTC2004" xfId="372"/>
    <cellStyle name="_KT (2)_3_TG-TH_kien giang 2" xfId="373"/>
    <cellStyle name="_KT (2)_3_TG-TH_KH TPCP 2016-2020 (tong hop)" xfId="374"/>
    <cellStyle name="_KT (2)_3_TG-TH_KH TPCP vung TNB (03-1-2012)" xfId="375"/>
    <cellStyle name="_KT (2)_3_TG-TH_Lora-tungchau" xfId="376"/>
    <cellStyle name="_KT (2)_3_TG-TH_Lora-tungchau 2" xfId="377"/>
    <cellStyle name="_KT (2)_3_TG-TH_Lora-tungchau_05-12  KH trung han 2016-2020 - Liem Thinh edited" xfId="378"/>
    <cellStyle name="_KT (2)_3_TG-TH_Lora-tungchau_Copy of 05-12  KH trung han 2016-2020 - Liem Thinh edited (1)" xfId="379"/>
    <cellStyle name="_KT (2)_3_TG-TH_Lora-tungchau_KH TPCP 2016-2020 (tong hop)" xfId="380"/>
    <cellStyle name="_KT (2)_3_TG-TH_N-X-T-04" xfId="381"/>
    <cellStyle name="_KT (2)_3_TG-TH_PERSONAL" xfId="382"/>
    <cellStyle name="_KT (2)_3_TG-TH_PERSONAL_BC CV 6403 BKHĐT" xfId="383"/>
    <cellStyle name="_KT (2)_3_TG-TH_PERSONAL_Bieu mau cong trinh khoi cong moi 3-4" xfId="384"/>
    <cellStyle name="_KT (2)_3_TG-TH_PERSONAL_Bieu3ODA" xfId="385"/>
    <cellStyle name="_KT (2)_3_TG-TH_PERSONAL_Bieu4HTMT" xfId="386"/>
    <cellStyle name="_KT (2)_3_TG-TH_PERSONAL_Book1" xfId="387"/>
    <cellStyle name="_KT (2)_3_TG-TH_PERSONAL_Book1 2" xfId="388"/>
    <cellStyle name="_KT (2)_3_TG-TH_PERSONAL_HTQ.8 GD1" xfId="389"/>
    <cellStyle name="_KT (2)_3_TG-TH_PERSONAL_HTQ.8 GD1_05-12  KH trung han 2016-2020 - Liem Thinh edited" xfId="390"/>
    <cellStyle name="_KT (2)_3_TG-TH_PERSONAL_HTQ.8 GD1_Copy of 05-12  KH trung han 2016-2020 - Liem Thinh edited (1)" xfId="391"/>
    <cellStyle name="_KT (2)_3_TG-TH_PERSONAL_HTQ.8 GD1_KH TPCP 2016-2020 (tong hop)" xfId="392"/>
    <cellStyle name="_KT (2)_3_TG-TH_PERSONAL_Luy ke von ung nam 2011 -Thoa gui ngay 12-8-2012" xfId="393"/>
    <cellStyle name="_KT (2)_3_TG-TH_PERSONAL_Tong hop KHCB 2001" xfId="394"/>
    <cellStyle name="_KT (2)_3_TG-TH_Qt-HT3PQ1(CauKho)" xfId="395"/>
    <cellStyle name="_KT (2)_3_TG-TH_TK152-04" xfId="396"/>
    <cellStyle name="_KT (2)_3_TG-TH_ÿÿÿÿÿ" xfId="397"/>
    <cellStyle name="_KT (2)_3_TG-TH_ÿÿÿÿÿ_kien giang 2" xfId="398"/>
    <cellStyle name="_KT (2)_3_TG-TH_ÿÿÿÿÿ_KH TPCP vung TNB (03-1-2012)" xfId="399"/>
    <cellStyle name="_KT (2)_4" xfId="400"/>
    <cellStyle name="_KT (2)_4 2" xfId="401"/>
    <cellStyle name="_KT (2)_4_05-12  KH trung han 2016-2020 - Liem Thinh edited" xfId="402"/>
    <cellStyle name="_KT (2)_4_ApGiaVatTu_cayxanh_latgach" xfId="403"/>
    <cellStyle name="_KT (2)_4_BANG TONG HOP TINH HINH THANH QUYET TOAN (MOI I)" xfId="404"/>
    <cellStyle name="_KT (2)_4_BANG TONG HOP TINH HINH THANH QUYET TOAN (MOI I) 2" xfId="4307"/>
    <cellStyle name="_KT (2)_4_BAO CAO KLCT PT2000" xfId="405"/>
    <cellStyle name="_KT (2)_4_BAO CAO PT2000" xfId="406"/>
    <cellStyle name="_KT (2)_4_BAO CAO PT2000_Book1" xfId="407"/>
    <cellStyle name="_KT (2)_4_Bao cao XDCB 2001 - T11 KH dieu chinh 20-11-THAI" xfId="408"/>
    <cellStyle name="_KT (2)_4_BAO GIA NGAY 24-10-08 (co dam)" xfId="409"/>
    <cellStyle name="_KT (2)_4_BAO GIA NGAY 24-10-08 (co dam) 2" xfId="4308"/>
    <cellStyle name="_KT (2)_4_BC  NAM 2007" xfId="410"/>
    <cellStyle name="_KT (2)_4_BC CV 6403 BKHĐT" xfId="411"/>
    <cellStyle name="_KT (2)_4_BC CV 6403 BKHĐT 2" xfId="4309"/>
    <cellStyle name="_KT (2)_4_BC NQ11-CP - chinh sua lai" xfId="412"/>
    <cellStyle name="_KT (2)_4_BC NQ11-CP-Quynh sau bieu so3" xfId="413"/>
    <cellStyle name="_KT (2)_4_BC_NQ11-CP_-_Thao_sua_lai" xfId="414"/>
    <cellStyle name="_KT (2)_4_Bieu mau cong trinh khoi cong moi 3-4" xfId="415"/>
    <cellStyle name="_KT (2)_4_Bieu mau cong trinh khoi cong moi 3-4 2" xfId="4310"/>
    <cellStyle name="_KT (2)_4_Bieu3ODA" xfId="416"/>
    <cellStyle name="_KT (2)_4_Bieu3ODA_1" xfId="417"/>
    <cellStyle name="_KT (2)_4_Bieu4HTMT" xfId="418"/>
    <cellStyle name="_KT (2)_4_Bieu4HTMT 2" xfId="4311"/>
    <cellStyle name="_KT (2)_4_bo sung von KCH nam 2010 va Du an tre kho khan" xfId="419"/>
    <cellStyle name="_KT (2)_4_bo sung von KCH nam 2010 va Du an tre kho khan 2" xfId="4312"/>
    <cellStyle name="_KT (2)_4_Book1" xfId="420"/>
    <cellStyle name="_KT (2)_4_Book1 2" xfId="421"/>
    <cellStyle name="_KT (2)_4_Book1_1" xfId="422"/>
    <cellStyle name="_KT (2)_4_Book1_1 2" xfId="423"/>
    <cellStyle name="_KT (2)_4_Book1_1 3" xfId="4313"/>
    <cellStyle name="_KT (2)_4_Book1_1_BC CV 6403 BKHĐT" xfId="424"/>
    <cellStyle name="_KT (2)_4_Book1_1_BC CV 6403 BKHĐT 2" xfId="4314"/>
    <cellStyle name="_KT (2)_4_Book1_1_Bieu mau cong trinh khoi cong moi 3-4" xfId="425"/>
    <cellStyle name="_KT (2)_4_Book1_1_Bieu mau cong trinh khoi cong moi 3-4 2" xfId="4315"/>
    <cellStyle name="_KT (2)_4_Book1_1_Bieu3ODA" xfId="426"/>
    <cellStyle name="_KT (2)_4_Book1_1_Bieu3ODA 2" xfId="4316"/>
    <cellStyle name="_KT (2)_4_Book1_1_Bieu4HTMT" xfId="427"/>
    <cellStyle name="_KT (2)_4_Book1_1_Bieu4HTMT 2" xfId="4317"/>
    <cellStyle name="_KT (2)_4_Book1_1_Book1" xfId="428"/>
    <cellStyle name="_KT (2)_4_Book1_1_Luy ke von ung nam 2011 -Thoa gui ngay 12-8-2012" xfId="429"/>
    <cellStyle name="_KT (2)_4_Book1_1_Luy ke von ung nam 2011 -Thoa gui ngay 12-8-2012 2" xfId="4318"/>
    <cellStyle name="_KT (2)_4_Book1_2" xfId="430"/>
    <cellStyle name="_KT (2)_4_Book1_2 2" xfId="431"/>
    <cellStyle name="_KT (2)_4_Book1_2_BC CV 6403 BKHĐT" xfId="432"/>
    <cellStyle name="_KT (2)_4_Book1_2_Bieu3ODA" xfId="433"/>
    <cellStyle name="_KT (2)_4_Book1_2_Luy ke von ung nam 2011 -Thoa gui ngay 12-8-2012" xfId="434"/>
    <cellStyle name="_KT (2)_4_Book1_3" xfId="435"/>
    <cellStyle name="_KT (2)_4_Book1_3 2" xfId="436"/>
    <cellStyle name="_KT (2)_4_Book1_BC CV 6403 BKHĐT" xfId="437"/>
    <cellStyle name="_KT (2)_4_Book1_Bieu mau cong trinh khoi cong moi 3-4" xfId="438"/>
    <cellStyle name="_KT (2)_4_Book1_Bieu3ODA" xfId="439"/>
    <cellStyle name="_KT (2)_4_Book1_Bieu4HTMT" xfId="440"/>
    <cellStyle name="_KT (2)_4_Book1_bo sung von KCH nam 2010 va Du an tre kho khan" xfId="441"/>
    <cellStyle name="_KT (2)_4_Book1_Book1" xfId="442"/>
    <cellStyle name="_KT (2)_4_Book1_danh muc chuan bi dau tu 2011 ngay 07-6-2011" xfId="443"/>
    <cellStyle name="_KT (2)_4_Book1_Danh muc pbo nguon von XSKT, XDCB nam 2009 chuyen qua nam 2010" xfId="444"/>
    <cellStyle name="_KT (2)_4_Book1_dieu chinh KH 2011 ngay 26-5-2011111" xfId="445"/>
    <cellStyle name="_KT (2)_4_Book1_DS KCH PHAN BO VON NSDP NAM 2010" xfId="446"/>
    <cellStyle name="_KT (2)_4_Book1_giao KH 2011 ngay 10-12-2010" xfId="447"/>
    <cellStyle name="_KT (2)_4_Book1_Luy ke von ung nam 2011 -Thoa gui ngay 12-8-2012" xfId="448"/>
    <cellStyle name="_KT (2)_4_CAU Khanh Nam(Thi Cong)" xfId="449"/>
    <cellStyle name="_KT (2)_4_CAU Khanh Nam(Thi Cong) 2" xfId="4319"/>
    <cellStyle name="_KT (2)_4_CoCauPhi (version 1)" xfId="450"/>
    <cellStyle name="_KT (2)_4_Copy of 05-12  KH trung han 2016-2020 - Liem Thinh edited (1)" xfId="451"/>
    <cellStyle name="_KT (2)_4_ChiHuong_ApGia" xfId="452"/>
    <cellStyle name="_KT (2)_4_ChiHuong_ApGia 2" xfId="4320"/>
    <cellStyle name="_KT (2)_4_danh muc chuan bi dau tu 2011 ngay 07-6-2011" xfId="453"/>
    <cellStyle name="_KT (2)_4_Danh muc pbo nguon von XSKT, XDCB nam 2009 chuyen qua nam 2010" xfId="454"/>
    <cellStyle name="_KT (2)_4_Danh muc pbo nguon von XSKT, XDCB nam 2009 chuyen qua nam 2010 2" xfId="4321"/>
    <cellStyle name="_KT (2)_4_DAU NOI PL-CL TAI PHU LAMHC" xfId="455"/>
    <cellStyle name="_KT (2)_4_dieu chinh KH 2011 ngay 26-5-2011111" xfId="456"/>
    <cellStyle name="_KT (2)_4_DS KCH PHAN BO VON NSDP NAM 2010" xfId="457"/>
    <cellStyle name="_KT (2)_4_DS KCH PHAN BO VON NSDP NAM 2010 2" xfId="4322"/>
    <cellStyle name="_KT (2)_4_DTCDT MR.2N110.HOCMON.TDTOAN.CCUNG" xfId="458"/>
    <cellStyle name="_KT (2)_4_DU TRU VAT TU" xfId="459"/>
    <cellStyle name="_KT (2)_4_DU TRU VAT TU 2" xfId="4323"/>
    <cellStyle name="_KT (2)_4_GTGT 2003" xfId="460"/>
    <cellStyle name="_KT (2)_4_giao KH 2011 ngay 10-12-2010" xfId="461"/>
    <cellStyle name="_KT (2)_4_KE KHAI THUE GTGT 2004" xfId="462"/>
    <cellStyle name="_KT (2)_4_KE KHAI THUE GTGT 2004 2" xfId="4324"/>
    <cellStyle name="_KT (2)_4_KE KHAI THUE GTGT 2004_BCTC2004" xfId="463"/>
    <cellStyle name="_KT (2)_4_kien giang 2" xfId="464"/>
    <cellStyle name="_KT (2)_4_KH TPCP 2016-2020 (tong hop)" xfId="465"/>
    <cellStyle name="_KT (2)_4_KH TPCP vung TNB (03-1-2012)" xfId="466"/>
    <cellStyle name="_KT (2)_4_Lora-tungchau" xfId="467"/>
    <cellStyle name="_KT (2)_4_Luy ke von ung nam 2011 -Thoa gui ngay 12-8-2012" xfId="468"/>
    <cellStyle name="_KT (2)_4_Luy ke von ung nam 2011 -Thoa gui ngay 12-8-2012 2" xfId="4325"/>
    <cellStyle name="_KT (2)_4_N-X-T-04" xfId="469"/>
    <cellStyle name="_KT (2)_4_NhanCong" xfId="470"/>
    <cellStyle name="_KT (2)_4_PGIA-phieu tham tra Kho bac" xfId="471"/>
    <cellStyle name="_KT (2)_4_PT02-02" xfId="472"/>
    <cellStyle name="_KT (2)_4_PT02-02_Book1" xfId="473"/>
    <cellStyle name="_KT (2)_4_PT02-03" xfId="474"/>
    <cellStyle name="_KT (2)_4_PT02-03_Book1" xfId="475"/>
    <cellStyle name="_KT (2)_4_phu luc tong ket tinh hinh TH giai doan 03-10 (ngay 30)" xfId="476"/>
    <cellStyle name="_KT (2)_4_phu luc tong ket tinh hinh TH giai doan 03-10 (ngay 30) 2" xfId="4326"/>
    <cellStyle name="_KT (2)_4_Qt-HT3PQ1(CauKho)" xfId="477"/>
    <cellStyle name="_KT (2)_4_Sheet1" xfId="478"/>
    <cellStyle name="_KT (2)_4_TG-TH" xfId="479"/>
    <cellStyle name="_KT (2)_4_TK152-04" xfId="480"/>
    <cellStyle name="_KT (2)_4_ÿÿÿÿÿ" xfId="481"/>
    <cellStyle name="_KT (2)_4_ÿÿÿÿÿ 2" xfId="4327"/>
    <cellStyle name="_KT (2)_4_ÿÿÿÿÿ_Bieu mau cong trinh khoi cong moi 3-4" xfId="482"/>
    <cellStyle name="_KT (2)_4_ÿÿÿÿÿ_Bieu mau cong trinh khoi cong moi 3-4 2" xfId="4328"/>
    <cellStyle name="_KT (2)_4_ÿÿÿÿÿ_Bieu3ODA" xfId="483"/>
    <cellStyle name="_KT (2)_4_ÿÿÿÿÿ_Bieu3ODA 2" xfId="4329"/>
    <cellStyle name="_KT (2)_4_ÿÿÿÿÿ_Bieu4HTMT" xfId="484"/>
    <cellStyle name="_KT (2)_4_ÿÿÿÿÿ_Bieu4HTMT 2" xfId="4330"/>
    <cellStyle name="_KT (2)_4_ÿÿÿÿÿ_kien giang 2" xfId="485"/>
    <cellStyle name="_KT (2)_4_ÿÿÿÿÿ_KH TPCP vung TNB (03-1-2012)" xfId="486"/>
    <cellStyle name="_KT (2)_5" xfId="487"/>
    <cellStyle name="_KT (2)_5 2" xfId="488"/>
    <cellStyle name="_KT (2)_5_05-12  KH trung han 2016-2020 - Liem Thinh edited" xfId="489"/>
    <cellStyle name="_KT (2)_5_ApGiaVatTu_cayxanh_latgach" xfId="490"/>
    <cellStyle name="_KT (2)_5_BANG TONG HOP TINH HINH THANH QUYET TOAN (MOI I)" xfId="491"/>
    <cellStyle name="_KT (2)_5_BANG TONG HOP TINH HINH THANH QUYET TOAN (MOI I) 2" xfId="4331"/>
    <cellStyle name="_KT (2)_5_BAO CAO KLCT PT2000" xfId="492"/>
    <cellStyle name="_KT (2)_5_BAO CAO PT2000" xfId="493"/>
    <cellStyle name="_KT (2)_5_BAO CAO PT2000_Book1" xfId="494"/>
    <cellStyle name="_KT (2)_5_Bao cao XDCB 2001 - T11 KH dieu chinh 20-11-THAI" xfId="495"/>
    <cellStyle name="_KT (2)_5_BAO GIA NGAY 24-10-08 (co dam)" xfId="496"/>
    <cellStyle name="_KT (2)_5_BAO GIA NGAY 24-10-08 (co dam) 2" xfId="4332"/>
    <cellStyle name="_KT (2)_5_BC  NAM 2007" xfId="497"/>
    <cellStyle name="_KT (2)_5_BC CV 6403 BKHĐT" xfId="498"/>
    <cellStyle name="_KT (2)_5_BC CV 6403 BKHĐT 2" xfId="4333"/>
    <cellStyle name="_KT (2)_5_BC NQ11-CP - chinh sua lai" xfId="499"/>
    <cellStyle name="_KT (2)_5_BC NQ11-CP-Quynh sau bieu so3" xfId="500"/>
    <cellStyle name="_KT (2)_5_BC_NQ11-CP_-_Thao_sua_lai" xfId="501"/>
    <cellStyle name="_KT (2)_5_Bieu mau cong trinh khoi cong moi 3-4" xfId="502"/>
    <cellStyle name="_KT (2)_5_Bieu mau cong trinh khoi cong moi 3-4 2" xfId="4334"/>
    <cellStyle name="_KT (2)_5_Bieu3ODA" xfId="503"/>
    <cellStyle name="_KT (2)_5_Bieu3ODA_1" xfId="504"/>
    <cellStyle name="_KT (2)_5_Bieu4HTMT" xfId="505"/>
    <cellStyle name="_KT (2)_5_Bieu4HTMT 2" xfId="4335"/>
    <cellStyle name="_KT (2)_5_bo sung von KCH nam 2010 va Du an tre kho khan" xfId="506"/>
    <cellStyle name="_KT (2)_5_bo sung von KCH nam 2010 va Du an tre kho khan 2" xfId="4336"/>
    <cellStyle name="_KT (2)_5_Book1" xfId="507"/>
    <cellStyle name="_KT (2)_5_Book1 2" xfId="508"/>
    <cellStyle name="_KT (2)_5_Book1_1" xfId="509"/>
    <cellStyle name="_KT (2)_5_Book1_1 2" xfId="510"/>
    <cellStyle name="_KT (2)_5_Book1_1 3" xfId="4337"/>
    <cellStyle name="_KT (2)_5_Book1_1_BC CV 6403 BKHĐT" xfId="511"/>
    <cellStyle name="_KT (2)_5_Book1_1_BC CV 6403 BKHĐT 2" xfId="4338"/>
    <cellStyle name="_KT (2)_5_Book1_1_Bieu mau cong trinh khoi cong moi 3-4" xfId="512"/>
    <cellStyle name="_KT (2)_5_Book1_1_Bieu mau cong trinh khoi cong moi 3-4 2" xfId="4339"/>
    <cellStyle name="_KT (2)_5_Book1_1_Bieu3ODA" xfId="513"/>
    <cellStyle name="_KT (2)_5_Book1_1_Bieu3ODA 2" xfId="4340"/>
    <cellStyle name="_KT (2)_5_Book1_1_Bieu4HTMT" xfId="514"/>
    <cellStyle name="_KT (2)_5_Book1_1_Bieu4HTMT 2" xfId="4341"/>
    <cellStyle name="_KT (2)_5_Book1_1_Book1" xfId="515"/>
    <cellStyle name="_KT (2)_5_Book1_1_Luy ke von ung nam 2011 -Thoa gui ngay 12-8-2012" xfId="516"/>
    <cellStyle name="_KT (2)_5_Book1_1_Luy ke von ung nam 2011 -Thoa gui ngay 12-8-2012 2" xfId="4342"/>
    <cellStyle name="_KT (2)_5_Book1_2" xfId="517"/>
    <cellStyle name="_KT (2)_5_Book1_2 2" xfId="518"/>
    <cellStyle name="_KT (2)_5_Book1_2_BC CV 6403 BKHĐT" xfId="519"/>
    <cellStyle name="_KT (2)_5_Book1_2_Bieu3ODA" xfId="520"/>
    <cellStyle name="_KT (2)_5_Book1_2_Luy ke von ung nam 2011 -Thoa gui ngay 12-8-2012" xfId="521"/>
    <cellStyle name="_KT (2)_5_Book1_3" xfId="522"/>
    <cellStyle name="_KT (2)_5_Book1_BC CV 6403 BKHĐT" xfId="523"/>
    <cellStyle name="_KT (2)_5_Book1_BC-QT-WB-dthao" xfId="524"/>
    <cellStyle name="_KT (2)_5_Book1_Bieu mau cong trinh khoi cong moi 3-4" xfId="525"/>
    <cellStyle name="_KT (2)_5_Book1_Bieu3ODA" xfId="526"/>
    <cellStyle name="_KT (2)_5_Book1_Bieu4HTMT" xfId="527"/>
    <cellStyle name="_KT (2)_5_Book1_bo sung von KCH nam 2010 va Du an tre kho khan" xfId="528"/>
    <cellStyle name="_KT (2)_5_Book1_Book1" xfId="529"/>
    <cellStyle name="_KT (2)_5_Book1_danh muc chuan bi dau tu 2011 ngay 07-6-2011" xfId="530"/>
    <cellStyle name="_KT (2)_5_Book1_Danh muc pbo nguon von XSKT, XDCB nam 2009 chuyen qua nam 2010" xfId="531"/>
    <cellStyle name="_KT (2)_5_Book1_dieu chinh KH 2011 ngay 26-5-2011111" xfId="532"/>
    <cellStyle name="_KT (2)_5_Book1_DS KCH PHAN BO VON NSDP NAM 2010" xfId="533"/>
    <cellStyle name="_KT (2)_5_Book1_giao KH 2011 ngay 10-12-2010" xfId="534"/>
    <cellStyle name="_KT (2)_5_Book1_Luy ke von ung nam 2011 -Thoa gui ngay 12-8-2012" xfId="535"/>
    <cellStyle name="_KT (2)_5_CAU Khanh Nam(Thi Cong)" xfId="536"/>
    <cellStyle name="_KT (2)_5_CAU Khanh Nam(Thi Cong) 2" xfId="4343"/>
    <cellStyle name="_KT (2)_5_CoCauPhi (version 1)" xfId="537"/>
    <cellStyle name="_KT (2)_5_Copy of 05-12  KH trung han 2016-2020 - Liem Thinh edited (1)" xfId="538"/>
    <cellStyle name="_KT (2)_5_ChiHuong_ApGia" xfId="539"/>
    <cellStyle name="_KT (2)_5_ChiHuong_ApGia 2" xfId="4344"/>
    <cellStyle name="_KT (2)_5_danh muc chuan bi dau tu 2011 ngay 07-6-2011" xfId="540"/>
    <cellStyle name="_KT (2)_5_Danh muc pbo nguon von XSKT, XDCB nam 2009 chuyen qua nam 2010" xfId="541"/>
    <cellStyle name="_KT (2)_5_Danh muc pbo nguon von XSKT, XDCB nam 2009 chuyen qua nam 2010 2" xfId="4345"/>
    <cellStyle name="_KT (2)_5_DAU NOI PL-CL TAI PHU LAMHC" xfId="542"/>
    <cellStyle name="_KT (2)_5_dieu chinh KH 2011 ngay 26-5-2011111" xfId="543"/>
    <cellStyle name="_KT (2)_5_DS KCH PHAN BO VON NSDP NAM 2010" xfId="544"/>
    <cellStyle name="_KT (2)_5_DS KCH PHAN BO VON NSDP NAM 2010 2" xfId="4346"/>
    <cellStyle name="_KT (2)_5_DTCDT MR.2N110.HOCMON.TDTOAN.CCUNG" xfId="545"/>
    <cellStyle name="_KT (2)_5_DU TRU VAT TU" xfId="546"/>
    <cellStyle name="_KT (2)_5_DU TRU VAT TU 2" xfId="4347"/>
    <cellStyle name="_KT (2)_5_GTGT 2003" xfId="547"/>
    <cellStyle name="_KT (2)_5_giao KH 2011 ngay 10-12-2010" xfId="548"/>
    <cellStyle name="_KT (2)_5_KE KHAI THUE GTGT 2004" xfId="549"/>
    <cellStyle name="_KT (2)_5_KE KHAI THUE GTGT 2004 2" xfId="4348"/>
    <cellStyle name="_KT (2)_5_KE KHAI THUE GTGT 2004_BCTC2004" xfId="550"/>
    <cellStyle name="_KT (2)_5_kien giang 2" xfId="551"/>
    <cellStyle name="_KT (2)_5_KH TPCP 2016-2020 (tong hop)" xfId="552"/>
    <cellStyle name="_KT (2)_5_KH TPCP vung TNB (03-1-2012)" xfId="553"/>
    <cellStyle name="_KT (2)_5_Lora-tungchau" xfId="554"/>
    <cellStyle name="_KT (2)_5_Luy ke von ung nam 2011 -Thoa gui ngay 12-8-2012" xfId="555"/>
    <cellStyle name="_KT (2)_5_Luy ke von ung nam 2011 -Thoa gui ngay 12-8-2012 2" xfId="4349"/>
    <cellStyle name="_KT (2)_5_N-X-T-04" xfId="556"/>
    <cellStyle name="_KT (2)_5_NhanCong" xfId="557"/>
    <cellStyle name="_KT (2)_5_PGIA-phieu tham tra Kho bac" xfId="558"/>
    <cellStyle name="_KT (2)_5_PT02-02" xfId="559"/>
    <cellStyle name="_KT (2)_5_PT02-02_Book1" xfId="560"/>
    <cellStyle name="_KT (2)_5_PT02-03" xfId="561"/>
    <cellStyle name="_KT (2)_5_PT02-03_Book1" xfId="562"/>
    <cellStyle name="_KT (2)_5_phu luc tong ket tinh hinh TH giai doan 03-10 (ngay 30)" xfId="563"/>
    <cellStyle name="_KT (2)_5_phu luc tong ket tinh hinh TH giai doan 03-10 (ngay 30) 2" xfId="4350"/>
    <cellStyle name="_KT (2)_5_Qt-HT3PQ1(CauKho)" xfId="564"/>
    <cellStyle name="_KT (2)_5_Sheet1" xfId="565"/>
    <cellStyle name="_KT (2)_5_TK152-04" xfId="566"/>
    <cellStyle name="_KT (2)_5_ÿÿÿÿÿ" xfId="567"/>
    <cellStyle name="_KT (2)_5_ÿÿÿÿÿ 2" xfId="4351"/>
    <cellStyle name="_KT (2)_5_ÿÿÿÿÿ_Bieu mau cong trinh khoi cong moi 3-4" xfId="568"/>
    <cellStyle name="_KT (2)_5_ÿÿÿÿÿ_Bieu mau cong trinh khoi cong moi 3-4 2" xfId="4352"/>
    <cellStyle name="_KT (2)_5_ÿÿÿÿÿ_Bieu3ODA" xfId="569"/>
    <cellStyle name="_KT (2)_5_ÿÿÿÿÿ_Bieu3ODA 2" xfId="4353"/>
    <cellStyle name="_KT (2)_5_ÿÿÿÿÿ_Bieu4HTMT" xfId="570"/>
    <cellStyle name="_KT (2)_5_ÿÿÿÿÿ_Bieu4HTMT 2" xfId="4354"/>
    <cellStyle name="_KT (2)_5_ÿÿÿÿÿ_kien giang 2" xfId="571"/>
    <cellStyle name="_KT (2)_5_ÿÿÿÿÿ_KH TPCP vung TNB (03-1-2012)" xfId="572"/>
    <cellStyle name="_KT (2)_BC  NAM 2007" xfId="573"/>
    <cellStyle name="_KT (2)_Bieu mau cong trinh khoi cong moi 3-4" xfId="574"/>
    <cellStyle name="_KT (2)_Bieu3ODA" xfId="575"/>
    <cellStyle name="_KT (2)_Bieu3ODA_1" xfId="576"/>
    <cellStyle name="_KT (2)_Bieu4HTMT" xfId="577"/>
    <cellStyle name="_KT (2)_bo sung von KCH nam 2010 va Du an tre kho khan" xfId="578"/>
    <cellStyle name="_KT (2)_Book1" xfId="579"/>
    <cellStyle name="_KT (2)_Book1 2" xfId="580"/>
    <cellStyle name="_KT (2)_Book1_BC-QT-WB-dthao" xfId="581"/>
    <cellStyle name="_KT (2)_Book1_BC-QT-WB-dthao_05-12  KH trung han 2016-2020 - Liem Thinh edited" xfId="582"/>
    <cellStyle name="_KT (2)_Book1_BC-QT-WB-dthao_Copy of 05-12  KH trung han 2016-2020 - Liem Thinh edited (1)" xfId="583"/>
    <cellStyle name="_KT (2)_Book1_BC-QT-WB-dthao_KH TPCP 2016-2020 (tong hop)" xfId="584"/>
    <cellStyle name="_KT (2)_Book1_kien giang 2" xfId="585"/>
    <cellStyle name="_KT (2)_Book1_KH TPCP vung TNB (03-1-2012)" xfId="586"/>
    <cellStyle name="_KT (2)_Copy of 05-12  KH trung han 2016-2020 - Liem Thinh edited (1)" xfId="587"/>
    <cellStyle name="_KT (2)_danh muc chuan bi dau tu 2011 ngay 07-6-2011" xfId="588"/>
    <cellStyle name="_KT (2)_Danh muc pbo nguon von XSKT, XDCB nam 2009 chuyen qua nam 2010" xfId="589"/>
    <cellStyle name="_KT (2)_dieu chinh KH 2011 ngay 26-5-2011111" xfId="590"/>
    <cellStyle name="_KT (2)_DS KCH PHAN BO VON NSDP NAM 2010" xfId="591"/>
    <cellStyle name="_KT (2)_GTGT 2003" xfId="592"/>
    <cellStyle name="_KT (2)_giao KH 2011 ngay 10-12-2010" xfId="593"/>
    <cellStyle name="_KT (2)_KE KHAI THUE GTGT 2004" xfId="594"/>
    <cellStyle name="_KT (2)_KE KHAI THUE GTGT 2004_BCTC2004" xfId="595"/>
    <cellStyle name="_KT (2)_kien giang 2" xfId="596"/>
    <cellStyle name="_KT (2)_KH TPCP 2016-2020 (tong hop)" xfId="597"/>
    <cellStyle name="_KT (2)_KH TPCP vung TNB (03-1-2012)" xfId="598"/>
    <cellStyle name="_KT (2)_Lora-tungchau" xfId="599"/>
    <cellStyle name="_KT (2)_Lora-tungchau 2" xfId="600"/>
    <cellStyle name="_KT (2)_Lora-tungchau_05-12  KH trung han 2016-2020 - Liem Thinh edited" xfId="601"/>
    <cellStyle name="_KT (2)_Lora-tungchau_Copy of 05-12  KH trung han 2016-2020 - Liem Thinh edited (1)" xfId="602"/>
    <cellStyle name="_KT (2)_Lora-tungchau_KH TPCP 2016-2020 (tong hop)" xfId="603"/>
    <cellStyle name="_KT (2)_N-X-T-04" xfId="604"/>
    <cellStyle name="_KT (2)_PERSONAL" xfId="605"/>
    <cellStyle name="_KT (2)_PERSONAL_BC CV 6403 BKHĐT" xfId="606"/>
    <cellStyle name="_KT (2)_PERSONAL_Bieu mau cong trinh khoi cong moi 3-4" xfId="607"/>
    <cellStyle name="_KT (2)_PERSONAL_Bieu3ODA" xfId="608"/>
    <cellStyle name="_KT (2)_PERSONAL_Bieu4HTMT" xfId="609"/>
    <cellStyle name="_KT (2)_PERSONAL_Book1" xfId="610"/>
    <cellStyle name="_KT (2)_PERSONAL_Book1 2" xfId="611"/>
    <cellStyle name="_KT (2)_PERSONAL_HTQ.8 GD1" xfId="612"/>
    <cellStyle name="_KT (2)_PERSONAL_HTQ.8 GD1_05-12  KH trung han 2016-2020 - Liem Thinh edited" xfId="613"/>
    <cellStyle name="_KT (2)_PERSONAL_HTQ.8 GD1_Copy of 05-12  KH trung han 2016-2020 - Liem Thinh edited (1)" xfId="614"/>
    <cellStyle name="_KT (2)_PERSONAL_HTQ.8 GD1_KH TPCP 2016-2020 (tong hop)" xfId="615"/>
    <cellStyle name="_KT (2)_PERSONAL_Luy ke von ung nam 2011 -Thoa gui ngay 12-8-2012" xfId="616"/>
    <cellStyle name="_KT (2)_PERSONAL_Tong hop KHCB 2001" xfId="617"/>
    <cellStyle name="_KT (2)_Qt-HT3PQ1(CauKho)" xfId="618"/>
    <cellStyle name="_KT (2)_TG-TH" xfId="619"/>
    <cellStyle name="_KT (2)_TK152-04" xfId="620"/>
    <cellStyle name="_KT (2)_ÿÿÿÿÿ" xfId="621"/>
    <cellStyle name="_KT (2)_ÿÿÿÿÿ_kien giang 2" xfId="622"/>
    <cellStyle name="_KT (2)_ÿÿÿÿÿ_KH TPCP vung TNB (03-1-2012)" xfId="623"/>
    <cellStyle name="_KT_TG" xfId="624"/>
    <cellStyle name="_KT_TG_1" xfId="625"/>
    <cellStyle name="_KT_TG_1 2" xfId="626"/>
    <cellStyle name="_KT_TG_1_05-12  KH trung han 2016-2020 - Liem Thinh edited" xfId="627"/>
    <cellStyle name="_KT_TG_1_ApGiaVatTu_cayxanh_latgach" xfId="628"/>
    <cellStyle name="_KT_TG_1_BANG TONG HOP TINH HINH THANH QUYET TOAN (MOI I)" xfId="629"/>
    <cellStyle name="_KT_TG_1_BANG TONG HOP TINH HINH THANH QUYET TOAN (MOI I) 2" xfId="4355"/>
    <cellStyle name="_KT_TG_1_BAO CAO KLCT PT2000" xfId="630"/>
    <cellStyle name="_KT_TG_1_BAO CAO PT2000" xfId="631"/>
    <cellStyle name="_KT_TG_1_BAO CAO PT2000_Book1" xfId="632"/>
    <cellStyle name="_KT_TG_1_Bao cao XDCB 2001 - T11 KH dieu chinh 20-11-THAI" xfId="633"/>
    <cellStyle name="_KT_TG_1_BAO GIA NGAY 24-10-08 (co dam)" xfId="634"/>
    <cellStyle name="_KT_TG_1_BAO GIA NGAY 24-10-08 (co dam) 2" xfId="4356"/>
    <cellStyle name="_KT_TG_1_BC  NAM 2007" xfId="635"/>
    <cellStyle name="_KT_TG_1_BC CV 6403 BKHĐT" xfId="636"/>
    <cellStyle name="_KT_TG_1_BC CV 6403 BKHĐT 2" xfId="4357"/>
    <cellStyle name="_KT_TG_1_BC NQ11-CP - chinh sua lai" xfId="637"/>
    <cellStyle name="_KT_TG_1_BC NQ11-CP-Quynh sau bieu so3" xfId="638"/>
    <cellStyle name="_KT_TG_1_BC_NQ11-CP_-_Thao_sua_lai" xfId="639"/>
    <cellStyle name="_KT_TG_1_Bieu mau cong trinh khoi cong moi 3-4" xfId="640"/>
    <cellStyle name="_KT_TG_1_Bieu mau cong trinh khoi cong moi 3-4 2" xfId="4358"/>
    <cellStyle name="_KT_TG_1_Bieu3ODA" xfId="641"/>
    <cellStyle name="_KT_TG_1_Bieu3ODA_1" xfId="642"/>
    <cellStyle name="_KT_TG_1_Bieu4HTMT" xfId="643"/>
    <cellStyle name="_KT_TG_1_Bieu4HTMT 2" xfId="4359"/>
    <cellStyle name="_KT_TG_1_bo sung von KCH nam 2010 va Du an tre kho khan" xfId="644"/>
    <cellStyle name="_KT_TG_1_bo sung von KCH nam 2010 va Du an tre kho khan 2" xfId="4360"/>
    <cellStyle name="_KT_TG_1_Book1" xfId="645"/>
    <cellStyle name="_KT_TG_1_Book1 2" xfId="646"/>
    <cellStyle name="_KT_TG_1_Book1_1" xfId="647"/>
    <cellStyle name="_KT_TG_1_Book1_1 2" xfId="648"/>
    <cellStyle name="_KT_TG_1_Book1_1 3" xfId="4361"/>
    <cellStyle name="_KT_TG_1_Book1_1_BC CV 6403 BKHĐT" xfId="649"/>
    <cellStyle name="_KT_TG_1_Book1_1_BC CV 6403 BKHĐT 2" xfId="4362"/>
    <cellStyle name="_KT_TG_1_Book1_1_Bieu mau cong trinh khoi cong moi 3-4" xfId="650"/>
    <cellStyle name="_KT_TG_1_Book1_1_Bieu mau cong trinh khoi cong moi 3-4 2" xfId="4363"/>
    <cellStyle name="_KT_TG_1_Book1_1_Bieu3ODA" xfId="651"/>
    <cellStyle name="_KT_TG_1_Book1_1_Bieu3ODA 2" xfId="4364"/>
    <cellStyle name="_KT_TG_1_Book1_1_Bieu4HTMT" xfId="652"/>
    <cellStyle name="_KT_TG_1_Book1_1_Bieu4HTMT 2" xfId="4365"/>
    <cellStyle name="_KT_TG_1_Book1_1_Book1" xfId="653"/>
    <cellStyle name="_KT_TG_1_Book1_1_Luy ke von ung nam 2011 -Thoa gui ngay 12-8-2012" xfId="654"/>
    <cellStyle name="_KT_TG_1_Book1_1_Luy ke von ung nam 2011 -Thoa gui ngay 12-8-2012 2" xfId="4366"/>
    <cellStyle name="_KT_TG_1_Book1_2" xfId="655"/>
    <cellStyle name="_KT_TG_1_Book1_2 2" xfId="656"/>
    <cellStyle name="_KT_TG_1_Book1_2_BC CV 6403 BKHĐT" xfId="657"/>
    <cellStyle name="_KT_TG_1_Book1_2_Bieu3ODA" xfId="658"/>
    <cellStyle name="_KT_TG_1_Book1_2_Luy ke von ung nam 2011 -Thoa gui ngay 12-8-2012" xfId="659"/>
    <cellStyle name="_KT_TG_1_Book1_3" xfId="660"/>
    <cellStyle name="_KT_TG_1_Book1_BC CV 6403 BKHĐT" xfId="661"/>
    <cellStyle name="_KT_TG_1_Book1_BC-QT-WB-dthao" xfId="662"/>
    <cellStyle name="_KT_TG_1_Book1_Bieu mau cong trinh khoi cong moi 3-4" xfId="663"/>
    <cellStyle name="_KT_TG_1_Book1_Bieu3ODA" xfId="664"/>
    <cellStyle name="_KT_TG_1_Book1_Bieu4HTMT" xfId="665"/>
    <cellStyle name="_KT_TG_1_Book1_bo sung von KCH nam 2010 va Du an tre kho khan" xfId="666"/>
    <cellStyle name="_KT_TG_1_Book1_Book1" xfId="667"/>
    <cellStyle name="_KT_TG_1_Book1_danh muc chuan bi dau tu 2011 ngay 07-6-2011" xfId="668"/>
    <cellStyle name="_KT_TG_1_Book1_Danh muc pbo nguon von XSKT, XDCB nam 2009 chuyen qua nam 2010" xfId="669"/>
    <cellStyle name="_KT_TG_1_Book1_dieu chinh KH 2011 ngay 26-5-2011111" xfId="670"/>
    <cellStyle name="_KT_TG_1_Book1_DS KCH PHAN BO VON NSDP NAM 2010" xfId="671"/>
    <cellStyle name="_KT_TG_1_Book1_giao KH 2011 ngay 10-12-2010" xfId="672"/>
    <cellStyle name="_KT_TG_1_Book1_Luy ke von ung nam 2011 -Thoa gui ngay 12-8-2012" xfId="673"/>
    <cellStyle name="_KT_TG_1_CAU Khanh Nam(Thi Cong)" xfId="674"/>
    <cellStyle name="_KT_TG_1_CAU Khanh Nam(Thi Cong) 2" xfId="4367"/>
    <cellStyle name="_KT_TG_1_CoCauPhi (version 1)" xfId="675"/>
    <cellStyle name="_KT_TG_1_Copy of 05-12  KH trung han 2016-2020 - Liem Thinh edited (1)" xfId="676"/>
    <cellStyle name="_KT_TG_1_ChiHuong_ApGia" xfId="677"/>
    <cellStyle name="_KT_TG_1_ChiHuong_ApGia 2" xfId="4368"/>
    <cellStyle name="_KT_TG_1_danh muc chuan bi dau tu 2011 ngay 07-6-2011" xfId="678"/>
    <cellStyle name="_KT_TG_1_Danh muc pbo nguon von XSKT, XDCB nam 2009 chuyen qua nam 2010" xfId="679"/>
    <cellStyle name="_KT_TG_1_Danh muc pbo nguon von XSKT, XDCB nam 2009 chuyen qua nam 2010 2" xfId="4369"/>
    <cellStyle name="_KT_TG_1_DAU NOI PL-CL TAI PHU LAMHC" xfId="680"/>
    <cellStyle name="_KT_TG_1_dieu chinh KH 2011 ngay 26-5-2011111" xfId="681"/>
    <cellStyle name="_KT_TG_1_DS KCH PHAN BO VON NSDP NAM 2010" xfId="682"/>
    <cellStyle name="_KT_TG_1_DS KCH PHAN BO VON NSDP NAM 2010 2" xfId="4370"/>
    <cellStyle name="_KT_TG_1_DTCDT MR.2N110.HOCMON.TDTOAN.CCUNG" xfId="683"/>
    <cellStyle name="_KT_TG_1_DU TRU VAT TU" xfId="684"/>
    <cellStyle name="_KT_TG_1_DU TRU VAT TU 2" xfId="4371"/>
    <cellStyle name="_KT_TG_1_GTGT 2003" xfId="685"/>
    <cellStyle name="_KT_TG_1_giao KH 2011 ngay 10-12-2010" xfId="686"/>
    <cellStyle name="_KT_TG_1_KE KHAI THUE GTGT 2004" xfId="687"/>
    <cellStyle name="_KT_TG_1_KE KHAI THUE GTGT 2004 2" xfId="4372"/>
    <cellStyle name="_KT_TG_1_KE KHAI THUE GTGT 2004_BCTC2004" xfId="688"/>
    <cellStyle name="_KT_TG_1_kien giang 2" xfId="689"/>
    <cellStyle name="_KT_TG_1_KH TPCP 2016-2020 (tong hop)" xfId="690"/>
    <cellStyle name="_KT_TG_1_KH TPCP vung TNB (03-1-2012)" xfId="691"/>
    <cellStyle name="_KT_TG_1_Lora-tungchau" xfId="692"/>
    <cellStyle name="_KT_TG_1_Luy ke von ung nam 2011 -Thoa gui ngay 12-8-2012" xfId="693"/>
    <cellStyle name="_KT_TG_1_Luy ke von ung nam 2011 -Thoa gui ngay 12-8-2012 2" xfId="4373"/>
    <cellStyle name="_KT_TG_1_N-X-T-04" xfId="694"/>
    <cellStyle name="_KT_TG_1_NhanCong" xfId="695"/>
    <cellStyle name="_KT_TG_1_PGIA-phieu tham tra Kho bac" xfId="696"/>
    <cellStyle name="_KT_TG_1_PT02-02" xfId="697"/>
    <cellStyle name="_KT_TG_1_PT02-02_Book1" xfId="698"/>
    <cellStyle name="_KT_TG_1_PT02-03" xfId="699"/>
    <cellStyle name="_KT_TG_1_PT02-03_Book1" xfId="700"/>
    <cellStyle name="_KT_TG_1_phu luc tong ket tinh hinh TH giai doan 03-10 (ngay 30)" xfId="701"/>
    <cellStyle name="_KT_TG_1_phu luc tong ket tinh hinh TH giai doan 03-10 (ngay 30) 2" xfId="4374"/>
    <cellStyle name="_KT_TG_1_Qt-HT3PQ1(CauKho)" xfId="702"/>
    <cellStyle name="_KT_TG_1_Sheet1" xfId="703"/>
    <cellStyle name="_KT_TG_1_TK152-04" xfId="704"/>
    <cellStyle name="_KT_TG_1_ÿÿÿÿÿ" xfId="705"/>
    <cellStyle name="_KT_TG_1_ÿÿÿÿÿ 2" xfId="4375"/>
    <cellStyle name="_KT_TG_1_ÿÿÿÿÿ_Bieu mau cong trinh khoi cong moi 3-4" xfId="706"/>
    <cellStyle name="_KT_TG_1_ÿÿÿÿÿ_Bieu mau cong trinh khoi cong moi 3-4 2" xfId="4376"/>
    <cellStyle name="_KT_TG_1_ÿÿÿÿÿ_Bieu3ODA" xfId="707"/>
    <cellStyle name="_KT_TG_1_ÿÿÿÿÿ_Bieu3ODA 2" xfId="4377"/>
    <cellStyle name="_KT_TG_1_ÿÿÿÿÿ_Bieu4HTMT" xfId="708"/>
    <cellStyle name="_KT_TG_1_ÿÿÿÿÿ_Bieu4HTMT 2" xfId="4378"/>
    <cellStyle name="_KT_TG_1_ÿÿÿÿÿ_kien giang 2" xfId="709"/>
    <cellStyle name="_KT_TG_1_ÿÿÿÿÿ_KH TPCP vung TNB (03-1-2012)" xfId="710"/>
    <cellStyle name="_KT_TG_2" xfId="711"/>
    <cellStyle name="_KT_TG_2 2" xfId="712"/>
    <cellStyle name="_KT_TG_2_05-12  KH trung han 2016-2020 - Liem Thinh edited" xfId="713"/>
    <cellStyle name="_KT_TG_2_ApGiaVatTu_cayxanh_latgach" xfId="714"/>
    <cellStyle name="_KT_TG_2_BANG TONG HOP TINH HINH THANH QUYET TOAN (MOI I)" xfId="715"/>
    <cellStyle name="_KT_TG_2_BANG TONG HOP TINH HINH THANH QUYET TOAN (MOI I) 2" xfId="4379"/>
    <cellStyle name="_KT_TG_2_BAO CAO KLCT PT2000" xfId="716"/>
    <cellStyle name="_KT_TG_2_BAO CAO PT2000" xfId="717"/>
    <cellStyle name="_KT_TG_2_BAO CAO PT2000_Book1" xfId="718"/>
    <cellStyle name="_KT_TG_2_Bao cao XDCB 2001 - T11 KH dieu chinh 20-11-THAI" xfId="719"/>
    <cellStyle name="_KT_TG_2_BAO GIA NGAY 24-10-08 (co dam)" xfId="720"/>
    <cellStyle name="_KT_TG_2_BAO GIA NGAY 24-10-08 (co dam) 2" xfId="4380"/>
    <cellStyle name="_KT_TG_2_BC  NAM 2007" xfId="721"/>
    <cellStyle name="_KT_TG_2_BC CV 6403 BKHĐT" xfId="722"/>
    <cellStyle name="_KT_TG_2_BC CV 6403 BKHĐT 2" xfId="4381"/>
    <cellStyle name="_KT_TG_2_BC NQ11-CP - chinh sua lai" xfId="723"/>
    <cellStyle name="_KT_TG_2_BC NQ11-CP-Quynh sau bieu so3" xfId="724"/>
    <cellStyle name="_KT_TG_2_BC_NQ11-CP_-_Thao_sua_lai" xfId="725"/>
    <cellStyle name="_KT_TG_2_Bieu mau cong trinh khoi cong moi 3-4" xfId="726"/>
    <cellStyle name="_KT_TG_2_Bieu mau cong trinh khoi cong moi 3-4 2" xfId="4382"/>
    <cellStyle name="_KT_TG_2_Bieu3ODA" xfId="727"/>
    <cellStyle name="_KT_TG_2_Bieu3ODA_1" xfId="728"/>
    <cellStyle name="_KT_TG_2_Bieu4HTMT" xfId="729"/>
    <cellStyle name="_KT_TG_2_Bieu4HTMT 2" xfId="4383"/>
    <cellStyle name="_KT_TG_2_bo sung von KCH nam 2010 va Du an tre kho khan" xfId="730"/>
    <cellStyle name="_KT_TG_2_bo sung von KCH nam 2010 va Du an tre kho khan 2" xfId="4384"/>
    <cellStyle name="_KT_TG_2_Book1" xfId="731"/>
    <cellStyle name="_KT_TG_2_Book1 2" xfId="732"/>
    <cellStyle name="_KT_TG_2_Book1_1" xfId="733"/>
    <cellStyle name="_KT_TG_2_Book1_1 2" xfId="734"/>
    <cellStyle name="_KT_TG_2_Book1_1 3" xfId="4385"/>
    <cellStyle name="_KT_TG_2_Book1_1_BC CV 6403 BKHĐT" xfId="735"/>
    <cellStyle name="_KT_TG_2_Book1_1_BC CV 6403 BKHĐT 2" xfId="4386"/>
    <cellStyle name="_KT_TG_2_Book1_1_Bieu mau cong trinh khoi cong moi 3-4" xfId="736"/>
    <cellStyle name="_KT_TG_2_Book1_1_Bieu mau cong trinh khoi cong moi 3-4 2" xfId="4387"/>
    <cellStyle name="_KT_TG_2_Book1_1_Bieu3ODA" xfId="737"/>
    <cellStyle name="_KT_TG_2_Book1_1_Bieu3ODA 2" xfId="4388"/>
    <cellStyle name="_KT_TG_2_Book1_1_Bieu4HTMT" xfId="738"/>
    <cellStyle name="_KT_TG_2_Book1_1_Bieu4HTMT 2" xfId="4389"/>
    <cellStyle name="_KT_TG_2_Book1_1_Book1" xfId="739"/>
    <cellStyle name="_KT_TG_2_Book1_1_Luy ke von ung nam 2011 -Thoa gui ngay 12-8-2012" xfId="740"/>
    <cellStyle name="_KT_TG_2_Book1_1_Luy ke von ung nam 2011 -Thoa gui ngay 12-8-2012 2" xfId="4390"/>
    <cellStyle name="_KT_TG_2_Book1_2" xfId="741"/>
    <cellStyle name="_KT_TG_2_Book1_2 2" xfId="742"/>
    <cellStyle name="_KT_TG_2_Book1_2_BC CV 6403 BKHĐT" xfId="743"/>
    <cellStyle name="_KT_TG_2_Book1_2_Bieu3ODA" xfId="744"/>
    <cellStyle name="_KT_TG_2_Book1_2_Luy ke von ung nam 2011 -Thoa gui ngay 12-8-2012" xfId="745"/>
    <cellStyle name="_KT_TG_2_Book1_3" xfId="746"/>
    <cellStyle name="_KT_TG_2_Book1_3 2" xfId="747"/>
    <cellStyle name="_KT_TG_2_Book1_BC CV 6403 BKHĐT" xfId="748"/>
    <cellStyle name="_KT_TG_2_Book1_Bieu mau cong trinh khoi cong moi 3-4" xfId="749"/>
    <cellStyle name="_KT_TG_2_Book1_Bieu3ODA" xfId="750"/>
    <cellStyle name="_KT_TG_2_Book1_Bieu4HTMT" xfId="751"/>
    <cellStyle name="_KT_TG_2_Book1_bo sung von KCH nam 2010 va Du an tre kho khan" xfId="752"/>
    <cellStyle name="_KT_TG_2_Book1_Book1" xfId="753"/>
    <cellStyle name="_KT_TG_2_Book1_danh muc chuan bi dau tu 2011 ngay 07-6-2011" xfId="754"/>
    <cellStyle name="_KT_TG_2_Book1_Danh muc pbo nguon von XSKT, XDCB nam 2009 chuyen qua nam 2010" xfId="755"/>
    <cellStyle name="_KT_TG_2_Book1_dieu chinh KH 2011 ngay 26-5-2011111" xfId="756"/>
    <cellStyle name="_KT_TG_2_Book1_DS KCH PHAN BO VON NSDP NAM 2010" xfId="757"/>
    <cellStyle name="_KT_TG_2_Book1_giao KH 2011 ngay 10-12-2010" xfId="758"/>
    <cellStyle name="_KT_TG_2_Book1_Luy ke von ung nam 2011 -Thoa gui ngay 12-8-2012" xfId="759"/>
    <cellStyle name="_KT_TG_2_CAU Khanh Nam(Thi Cong)" xfId="760"/>
    <cellStyle name="_KT_TG_2_CAU Khanh Nam(Thi Cong) 2" xfId="4391"/>
    <cellStyle name="_KT_TG_2_CoCauPhi (version 1)" xfId="761"/>
    <cellStyle name="_KT_TG_2_Copy of 05-12  KH trung han 2016-2020 - Liem Thinh edited (1)" xfId="762"/>
    <cellStyle name="_KT_TG_2_ChiHuong_ApGia" xfId="763"/>
    <cellStyle name="_KT_TG_2_ChiHuong_ApGia 2" xfId="4392"/>
    <cellStyle name="_KT_TG_2_danh muc chuan bi dau tu 2011 ngay 07-6-2011" xfId="764"/>
    <cellStyle name="_KT_TG_2_Danh muc pbo nguon von XSKT, XDCB nam 2009 chuyen qua nam 2010" xfId="765"/>
    <cellStyle name="_KT_TG_2_Danh muc pbo nguon von XSKT, XDCB nam 2009 chuyen qua nam 2010 2" xfId="4393"/>
    <cellStyle name="_KT_TG_2_DAU NOI PL-CL TAI PHU LAMHC" xfId="766"/>
    <cellStyle name="_KT_TG_2_dieu chinh KH 2011 ngay 26-5-2011111" xfId="767"/>
    <cellStyle name="_KT_TG_2_DS KCH PHAN BO VON NSDP NAM 2010" xfId="768"/>
    <cellStyle name="_KT_TG_2_DS KCH PHAN BO VON NSDP NAM 2010 2" xfId="4394"/>
    <cellStyle name="_KT_TG_2_DTCDT MR.2N110.HOCMON.TDTOAN.CCUNG" xfId="769"/>
    <cellStyle name="_KT_TG_2_DU TRU VAT TU" xfId="770"/>
    <cellStyle name="_KT_TG_2_DU TRU VAT TU 2" xfId="4395"/>
    <cellStyle name="_KT_TG_2_GTGT 2003" xfId="771"/>
    <cellStyle name="_KT_TG_2_giao KH 2011 ngay 10-12-2010" xfId="772"/>
    <cellStyle name="_KT_TG_2_KE KHAI THUE GTGT 2004" xfId="773"/>
    <cellStyle name="_KT_TG_2_KE KHAI THUE GTGT 2004 2" xfId="4396"/>
    <cellStyle name="_KT_TG_2_KE KHAI THUE GTGT 2004_BCTC2004" xfId="774"/>
    <cellStyle name="_KT_TG_2_kien giang 2" xfId="775"/>
    <cellStyle name="_KT_TG_2_KH TPCP 2016-2020 (tong hop)" xfId="776"/>
    <cellStyle name="_KT_TG_2_KH TPCP vung TNB (03-1-2012)" xfId="777"/>
    <cellStyle name="_KT_TG_2_Lora-tungchau" xfId="778"/>
    <cellStyle name="_KT_TG_2_Luy ke von ung nam 2011 -Thoa gui ngay 12-8-2012" xfId="779"/>
    <cellStyle name="_KT_TG_2_Luy ke von ung nam 2011 -Thoa gui ngay 12-8-2012 2" xfId="4397"/>
    <cellStyle name="_KT_TG_2_N-X-T-04" xfId="780"/>
    <cellStyle name="_KT_TG_2_NhanCong" xfId="781"/>
    <cellStyle name="_KT_TG_2_PGIA-phieu tham tra Kho bac" xfId="782"/>
    <cellStyle name="_KT_TG_2_PT02-02" xfId="783"/>
    <cellStyle name="_KT_TG_2_PT02-02_Book1" xfId="784"/>
    <cellStyle name="_KT_TG_2_PT02-03" xfId="785"/>
    <cellStyle name="_KT_TG_2_PT02-03_Book1" xfId="786"/>
    <cellStyle name="_KT_TG_2_phu luc tong ket tinh hinh TH giai doan 03-10 (ngay 30)" xfId="787"/>
    <cellStyle name="_KT_TG_2_phu luc tong ket tinh hinh TH giai doan 03-10 (ngay 30) 2" xfId="4398"/>
    <cellStyle name="_KT_TG_2_Qt-HT3PQ1(CauKho)" xfId="788"/>
    <cellStyle name="_KT_TG_2_Sheet1" xfId="789"/>
    <cellStyle name="_KT_TG_2_TK152-04" xfId="790"/>
    <cellStyle name="_KT_TG_2_ÿÿÿÿÿ" xfId="791"/>
    <cellStyle name="_KT_TG_2_ÿÿÿÿÿ 2" xfId="4399"/>
    <cellStyle name="_KT_TG_2_ÿÿÿÿÿ_Bieu mau cong trinh khoi cong moi 3-4" xfId="792"/>
    <cellStyle name="_KT_TG_2_ÿÿÿÿÿ_Bieu mau cong trinh khoi cong moi 3-4 2" xfId="4400"/>
    <cellStyle name="_KT_TG_2_ÿÿÿÿÿ_Bieu3ODA" xfId="793"/>
    <cellStyle name="_KT_TG_2_ÿÿÿÿÿ_Bieu3ODA 2" xfId="4401"/>
    <cellStyle name="_KT_TG_2_ÿÿÿÿÿ_Bieu4HTMT" xfId="794"/>
    <cellStyle name="_KT_TG_2_ÿÿÿÿÿ_Bieu4HTMT 2" xfId="4402"/>
    <cellStyle name="_KT_TG_2_ÿÿÿÿÿ_kien giang 2" xfId="795"/>
    <cellStyle name="_KT_TG_2_ÿÿÿÿÿ_KH TPCP vung TNB (03-1-2012)" xfId="796"/>
    <cellStyle name="_KT_TG_3" xfId="797"/>
    <cellStyle name="_KT_TG_4" xfId="798"/>
    <cellStyle name="_KT_TG_4 2" xfId="799"/>
    <cellStyle name="_KT_TG_4_05-12  KH trung han 2016-2020 - Liem Thinh edited" xfId="800"/>
    <cellStyle name="_KT_TG_4_Copy of 05-12  KH trung han 2016-2020 - Liem Thinh edited (1)" xfId="801"/>
    <cellStyle name="_KT_TG_4_KH TPCP 2016-2020 (tong hop)" xfId="802"/>
    <cellStyle name="_KT_TG_4_Lora-tungchau" xfId="803"/>
    <cellStyle name="_KT_TG_4_Lora-tungchau 2" xfId="804"/>
    <cellStyle name="_KT_TG_4_Lora-tungchau_05-12  KH trung han 2016-2020 - Liem Thinh edited" xfId="805"/>
    <cellStyle name="_KT_TG_4_Lora-tungchau_Copy of 05-12  KH trung han 2016-2020 - Liem Thinh edited (1)" xfId="806"/>
    <cellStyle name="_KT_TG_4_Lora-tungchau_KH TPCP 2016-2020 (tong hop)" xfId="807"/>
    <cellStyle name="_KT_TG_4_Qt-HT3PQ1(CauKho)" xfId="808"/>
    <cellStyle name="_KH 2009" xfId="809"/>
    <cellStyle name="_KH 2009_15_10_2013 BC nhu cau von doi ung ODA (2014-2016) ngay 15102013 Sua" xfId="810"/>
    <cellStyle name="_KH 2009_BC nhu cau von doi ung ODA nganh NN (BKH)" xfId="811"/>
    <cellStyle name="_KH 2009_BC nhu cau von doi ung ODA nganh NN (BKH)_05-12  KH trung han 2016-2020 - Liem Thinh edited" xfId="812"/>
    <cellStyle name="_KH 2009_BC nhu cau von doi ung ODA nganh NN (BKH)_Copy of 05-12  KH trung han 2016-2020 - Liem Thinh edited (1)" xfId="813"/>
    <cellStyle name="_KH 2009_BC Tai co cau (bieu TH)" xfId="814"/>
    <cellStyle name="_KH 2009_BC Tai co cau (bieu TH)_05-12  KH trung han 2016-2020 - Liem Thinh edited" xfId="815"/>
    <cellStyle name="_KH 2009_BC Tai co cau (bieu TH)_Copy of 05-12  KH trung han 2016-2020 - Liem Thinh edited (1)" xfId="816"/>
    <cellStyle name="_KH 2009_DK 2014-2015 final" xfId="817"/>
    <cellStyle name="_KH 2009_DK 2014-2015 final_05-12  KH trung han 2016-2020 - Liem Thinh edited" xfId="818"/>
    <cellStyle name="_KH 2009_DK 2014-2015 final_Copy of 05-12  KH trung han 2016-2020 - Liem Thinh edited (1)" xfId="819"/>
    <cellStyle name="_KH 2009_DK 2014-2015 new" xfId="820"/>
    <cellStyle name="_KH 2009_DK 2014-2015 new_05-12  KH trung han 2016-2020 - Liem Thinh edited" xfId="821"/>
    <cellStyle name="_KH 2009_DK 2014-2015 new_Copy of 05-12  KH trung han 2016-2020 - Liem Thinh edited (1)" xfId="822"/>
    <cellStyle name="_KH 2009_DK KH CBDT 2014 11-11-2013" xfId="823"/>
    <cellStyle name="_KH 2009_DK KH CBDT 2014 11-11-2013(1)" xfId="824"/>
    <cellStyle name="_KH 2009_DK KH CBDT 2014 11-11-2013(1)_05-12  KH trung han 2016-2020 - Liem Thinh edited" xfId="825"/>
    <cellStyle name="_KH 2009_DK KH CBDT 2014 11-11-2013(1)_Copy of 05-12  KH trung han 2016-2020 - Liem Thinh edited (1)" xfId="826"/>
    <cellStyle name="_KH 2009_DK KH CBDT 2014 11-11-2013_05-12  KH trung han 2016-2020 - Liem Thinh edited" xfId="827"/>
    <cellStyle name="_KH 2009_DK KH CBDT 2014 11-11-2013_Copy of 05-12  KH trung han 2016-2020 - Liem Thinh edited (1)" xfId="828"/>
    <cellStyle name="_KH 2009_KH 2011-2015" xfId="829"/>
    <cellStyle name="_KH 2009_tai co cau dau tu (tong hop)1" xfId="830"/>
    <cellStyle name="_KH 2012 (TPCP) Bac Lieu (25-12-2011)" xfId="831"/>
    <cellStyle name="_Kh ql62 (2010) 11-09" xfId="832"/>
    <cellStyle name="_KH TPCP 2010 17-3-10" xfId="833"/>
    <cellStyle name="_KH TPCP vung TNB (03-1-2012)" xfId="834"/>
    <cellStyle name="_KH ung von cap bach 2009-Cuc NTTS de nghi (sua)" xfId="835"/>
    <cellStyle name="_Khung 2012" xfId="836"/>
    <cellStyle name="_Khung nam 2010" xfId="837"/>
    <cellStyle name="_Lora-tungchau" xfId="838"/>
    <cellStyle name="_Lora-tungchau 2" xfId="839"/>
    <cellStyle name="_Lora-tungchau_05-12  KH trung han 2016-2020 - Liem Thinh edited" xfId="840"/>
    <cellStyle name="_Lora-tungchau_Copy of 05-12  KH trung han 2016-2020 - Liem Thinh edited (1)" xfId="841"/>
    <cellStyle name="_Lora-tungchau_KH TPCP 2016-2020 (tong hop)" xfId="842"/>
    <cellStyle name="_Luy ke von ung nam 2011 -Thoa gui ngay 12-8-2012" xfId="843"/>
    <cellStyle name="_mau so 3" xfId="844"/>
    <cellStyle name="_MauThanTKKT-goi7-DonGia2143(vl t7)" xfId="845"/>
    <cellStyle name="_MauThanTKKT-goi7-DonGia2143(vl t7)_!1 1 bao cao giao KH ve HTCMT vung TNB   12-12-2011" xfId="846"/>
    <cellStyle name="_MauThanTKKT-goi7-DonGia2143(vl t7)_Bieu4HTMT" xfId="847"/>
    <cellStyle name="_MauThanTKKT-goi7-DonGia2143(vl t7)_Bieu4HTMT_!1 1 bao cao giao KH ve HTCMT vung TNB   12-12-2011" xfId="848"/>
    <cellStyle name="_MauThanTKKT-goi7-DonGia2143(vl t7)_Bieu4HTMT_KH TPCP vung TNB (03-1-2012)" xfId="849"/>
    <cellStyle name="_MauThanTKKT-goi7-DonGia2143(vl t7)_KH TPCP vung TNB (03-1-2012)" xfId="850"/>
    <cellStyle name="_N-X-T-04" xfId="851"/>
    <cellStyle name="_Nhu cau von ung truoc 2011 Tha h Hoa + Nge An gui TW" xfId="852"/>
    <cellStyle name="_Nhu cau von ung truoc 2011 Tha h Hoa + Nge An gui TW_!1 1 bao cao giao KH ve HTCMT vung TNB   12-12-2011" xfId="853"/>
    <cellStyle name="_Nhu cau von ung truoc 2011 Tha h Hoa + Nge An gui TW_Bieu4HTMT" xfId="854"/>
    <cellStyle name="_Nhu cau von ung truoc 2011 Tha h Hoa + Nge An gui TW_Bieu4HTMT_!1 1 bao cao giao KH ve HTCMT vung TNB   12-12-2011" xfId="855"/>
    <cellStyle name="_Nhu cau von ung truoc 2011 Tha h Hoa + Nge An gui TW_Bieu4HTMT_KH TPCP vung TNB (03-1-2012)" xfId="856"/>
    <cellStyle name="_Nhu cau von ung truoc 2011 Tha h Hoa + Nge An gui TW_KH TPCP vung TNB (03-1-2012)" xfId="857"/>
    <cellStyle name="_PERSONAL" xfId="858"/>
    <cellStyle name="_PERSONAL_BC CV 6403 BKHĐT" xfId="859"/>
    <cellStyle name="_PERSONAL_Bieu mau cong trinh khoi cong moi 3-4" xfId="860"/>
    <cellStyle name="_PERSONAL_Bieu3ODA" xfId="861"/>
    <cellStyle name="_PERSONAL_Bieu4HTMT" xfId="862"/>
    <cellStyle name="_PERSONAL_Book1" xfId="863"/>
    <cellStyle name="_PERSONAL_Book1 2" xfId="864"/>
    <cellStyle name="_PERSONAL_HTQ.8 GD1" xfId="865"/>
    <cellStyle name="_PERSONAL_HTQ.8 GD1_05-12  KH trung han 2016-2020 - Liem Thinh edited" xfId="866"/>
    <cellStyle name="_PERSONAL_HTQ.8 GD1_Copy of 05-12  KH trung han 2016-2020 - Liem Thinh edited (1)" xfId="867"/>
    <cellStyle name="_PERSONAL_HTQ.8 GD1_KH TPCP 2016-2020 (tong hop)" xfId="868"/>
    <cellStyle name="_PERSONAL_Luy ke von ung nam 2011 -Thoa gui ngay 12-8-2012" xfId="869"/>
    <cellStyle name="_PERSONAL_Tong hop KHCB 2001" xfId="870"/>
    <cellStyle name="_Phan bo KH 2009 TPCP" xfId="871"/>
    <cellStyle name="_phong bo mon22" xfId="872"/>
    <cellStyle name="_phong bo mon22_!1 1 bao cao giao KH ve HTCMT vung TNB   12-12-2011" xfId="873"/>
    <cellStyle name="_phong bo mon22_KH TPCP vung TNB (03-1-2012)" xfId="874"/>
    <cellStyle name="_Phu luc 2 (Bieu 2) TH KH 2010" xfId="875"/>
    <cellStyle name="_phu luc tong ket tinh hinh TH giai doan 03-10 (ngay 30)" xfId="876"/>
    <cellStyle name="_Phuluckinhphi_DC_lan 4_YL" xfId="877"/>
    <cellStyle name="_Q TOAN  SCTX QL.62 QUI I ( oanh)" xfId="878"/>
    <cellStyle name="_Q TOAN  SCTX QL.62 QUI II ( oanh)" xfId="879"/>
    <cellStyle name="_QT SCTXQL62_QT1 (Cty QL)" xfId="880"/>
    <cellStyle name="_Qt-HT3PQ1(CauKho)" xfId="881"/>
    <cellStyle name="_Sheet1" xfId="882"/>
    <cellStyle name="_Sheet2" xfId="883"/>
    <cellStyle name="_TG-TH" xfId="884"/>
    <cellStyle name="_TG-TH_1" xfId="885"/>
    <cellStyle name="_TG-TH_1 2" xfId="886"/>
    <cellStyle name="_TG-TH_1_05-12  KH trung han 2016-2020 - Liem Thinh edited" xfId="887"/>
    <cellStyle name="_TG-TH_1_ApGiaVatTu_cayxanh_latgach" xfId="888"/>
    <cellStyle name="_TG-TH_1_BANG TONG HOP TINH HINH THANH QUYET TOAN (MOI I)" xfId="889"/>
    <cellStyle name="_TG-TH_1_BANG TONG HOP TINH HINH THANH QUYET TOAN (MOI I) 2" xfId="4403"/>
    <cellStyle name="_TG-TH_1_BAO CAO KLCT PT2000" xfId="890"/>
    <cellStyle name="_TG-TH_1_BAO CAO PT2000" xfId="891"/>
    <cellStyle name="_TG-TH_1_BAO CAO PT2000_Book1" xfId="892"/>
    <cellStyle name="_TG-TH_1_Bao cao XDCB 2001 - T11 KH dieu chinh 20-11-THAI" xfId="893"/>
    <cellStyle name="_TG-TH_1_BAO GIA NGAY 24-10-08 (co dam)" xfId="894"/>
    <cellStyle name="_TG-TH_1_BAO GIA NGAY 24-10-08 (co dam) 2" xfId="4404"/>
    <cellStyle name="_TG-TH_1_BC  NAM 2007" xfId="895"/>
    <cellStyle name="_TG-TH_1_BC CV 6403 BKHĐT" xfId="896"/>
    <cellStyle name="_TG-TH_1_BC CV 6403 BKHĐT 2" xfId="4405"/>
    <cellStyle name="_TG-TH_1_BC NQ11-CP - chinh sua lai" xfId="897"/>
    <cellStyle name="_TG-TH_1_BC NQ11-CP-Quynh sau bieu so3" xfId="898"/>
    <cellStyle name="_TG-TH_1_BC_NQ11-CP_-_Thao_sua_lai" xfId="899"/>
    <cellStyle name="_TG-TH_1_Bieu mau cong trinh khoi cong moi 3-4" xfId="900"/>
    <cellStyle name="_TG-TH_1_Bieu mau cong trinh khoi cong moi 3-4 2" xfId="4406"/>
    <cellStyle name="_TG-TH_1_Bieu3ODA" xfId="901"/>
    <cellStyle name="_TG-TH_1_Bieu3ODA_1" xfId="902"/>
    <cellStyle name="_TG-TH_1_Bieu4HTMT" xfId="903"/>
    <cellStyle name="_TG-TH_1_Bieu4HTMT 2" xfId="4407"/>
    <cellStyle name="_TG-TH_1_bo sung von KCH nam 2010 va Du an tre kho khan" xfId="904"/>
    <cellStyle name="_TG-TH_1_bo sung von KCH nam 2010 va Du an tre kho khan 2" xfId="4408"/>
    <cellStyle name="_TG-TH_1_Book1" xfId="905"/>
    <cellStyle name="_TG-TH_1_Book1 2" xfId="906"/>
    <cellStyle name="_TG-TH_1_Book1_1" xfId="907"/>
    <cellStyle name="_TG-TH_1_Book1_1 2" xfId="908"/>
    <cellStyle name="_TG-TH_1_Book1_1 3" xfId="4409"/>
    <cellStyle name="_TG-TH_1_Book1_1_BC CV 6403 BKHĐT" xfId="909"/>
    <cellStyle name="_TG-TH_1_Book1_1_BC CV 6403 BKHĐT 2" xfId="4410"/>
    <cellStyle name="_TG-TH_1_Book1_1_Bieu mau cong trinh khoi cong moi 3-4" xfId="910"/>
    <cellStyle name="_TG-TH_1_Book1_1_Bieu mau cong trinh khoi cong moi 3-4 2" xfId="4411"/>
    <cellStyle name="_TG-TH_1_Book1_1_Bieu3ODA" xfId="911"/>
    <cellStyle name="_TG-TH_1_Book1_1_Bieu3ODA 2" xfId="4412"/>
    <cellStyle name="_TG-TH_1_Book1_1_Bieu4HTMT" xfId="912"/>
    <cellStyle name="_TG-TH_1_Book1_1_Bieu4HTMT 2" xfId="4413"/>
    <cellStyle name="_TG-TH_1_Book1_1_Book1" xfId="913"/>
    <cellStyle name="_TG-TH_1_Book1_1_Luy ke von ung nam 2011 -Thoa gui ngay 12-8-2012" xfId="914"/>
    <cellStyle name="_TG-TH_1_Book1_1_Luy ke von ung nam 2011 -Thoa gui ngay 12-8-2012 2" xfId="4414"/>
    <cellStyle name="_TG-TH_1_Book1_2" xfId="915"/>
    <cellStyle name="_TG-TH_1_Book1_2 2" xfId="916"/>
    <cellStyle name="_TG-TH_1_Book1_2_BC CV 6403 BKHĐT" xfId="917"/>
    <cellStyle name="_TG-TH_1_Book1_2_Bieu3ODA" xfId="918"/>
    <cellStyle name="_TG-TH_1_Book1_2_Luy ke von ung nam 2011 -Thoa gui ngay 12-8-2012" xfId="919"/>
    <cellStyle name="_TG-TH_1_Book1_3" xfId="920"/>
    <cellStyle name="_TG-TH_1_Book1_BC CV 6403 BKHĐT" xfId="921"/>
    <cellStyle name="_TG-TH_1_Book1_BC-QT-WB-dthao" xfId="922"/>
    <cellStyle name="_TG-TH_1_Book1_Bieu mau cong trinh khoi cong moi 3-4" xfId="923"/>
    <cellStyle name="_TG-TH_1_Book1_Bieu3ODA" xfId="924"/>
    <cellStyle name="_TG-TH_1_Book1_Bieu4HTMT" xfId="925"/>
    <cellStyle name="_TG-TH_1_Book1_bo sung von KCH nam 2010 va Du an tre kho khan" xfId="926"/>
    <cellStyle name="_TG-TH_1_Book1_Book1" xfId="927"/>
    <cellStyle name="_TG-TH_1_Book1_danh muc chuan bi dau tu 2011 ngay 07-6-2011" xfId="928"/>
    <cellStyle name="_TG-TH_1_Book1_Danh muc pbo nguon von XSKT, XDCB nam 2009 chuyen qua nam 2010" xfId="929"/>
    <cellStyle name="_TG-TH_1_Book1_dieu chinh KH 2011 ngay 26-5-2011111" xfId="930"/>
    <cellStyle name="_TG-TH_1_Book1_DS KCH PHAN BO VON NSDP NAM 2010" xfId="931"/>
    <cellStyle name="_TG-TH_1_Book1_giao KH 2011 ngay 10-12-2010" xfId="932"/>
    <cellStyle name="_TG-TH_1_Book1_Luy ke von ung nam 2011 -Thoa gui ngay 12-8-2012" xfId="933"/>
    <cellStyle name="_TG-TH_1_CAU Khanh Nam(Thi Cong)" xfId="934"/>
    <cellStyle name="_TG-TH_1_CAU Khanh Nam(Thi Cong) 2" xfId="4415"/>
    <cellStyle name="_TG-TH_1_CoCauPhi (version 1)" xfId="935"/>
    <cellStyle name="_TG-TH_1_Copy of 05-12  KH trung han 2016-2020 - Liem Thinh edited (1)" xfId="936"/>
    <cellStyle name="_TG-TH_1_ChiHuong_ApGia" xfId="937"/>
    <cellStyle name="_TG-TH_1_ChiHuong_ApGia 2" xfId="4416"/>
    <cellStyle name="_TG-TH_1_danh muc chuan bi dau tu 2011 ngay 07-6-2011" xfId="938"/>
    <cellStyle name="_TG-TH_1_Danh muc pbo nguon von XSKT, XDCB nam 2009 chuyen qua nam 2010" xfId="939"/>
    <cellStyle name="_TG-TH_1_Danh muc pbo nguon von XSKT, XDCB nam 2009 chuyen qua nam 2010 2" xfId="4417"/>
    <cellStyle name="_TG-TH_1_DAU NOI PL-CL TAI PHU LAMHC" xfId="940"/>
    <cellStyle name="_TG-TH_1_dieu chinh KH 2011 ngay 26-5-2011111" xfId="941"/>
    <cellStyle name="_TG-TH_1_DS KCH PHAN BO VON NSDP NAM 2010" xfId="942"/>
    <cellStyle name="_TG-TH_1_DS KCH PHAN BO VON NSDP NAM 2010 2" xfId="4418"/>
    <cellStyle name="_TG-TH_1_DTCDT MR.2N110.HOCMON.TDTOAN.CCUNG" xfId="943"/>
    <cellStyle name="_TG-TH_1_DU TRU VAT TU" xfId="944"/>
    <cellStyle name="_TG-TH_1_DU TRU VAT TU 2" xfId="4419"/>
    <cellStyle name="_TG-TH_1_GTGT 2003" xfId="945"/>
    <cellStyle name="_TG-TH_1_giao KH 2011 ngay 10-12-2010" xfId="946"/>
    <cellStyle name="_TG-TH_1_KE KHAI THUE GTGT 2004" xfId="947"/>
    <cellStyle name="_TG-TH_1_KE KHAI THUE GTGT 2004 2" xfId="4420"/>
    <cellStyle name="_TG-TH_1_KE KHAI THUE GTGT 2004_BCTC2004" xfId="948"/>
    <cellStyle name="_TG-TH_1_kien giang 2" xfId="949"/>
    <cellStyle name="_TG-TH_1_KH TPCP 2016-2020 (tong hop)" xfId="950"/>
    <cellStyle name="_TG-TH_1_KH TPCP vung TNB (03-1-2012)" xfId="951"/>
    <cellStyle name="_TG-TH_1_Lora-tungchau" xfId="952"/>
    <cellStyle name="_TG-TH_1_Luy ke von ung nam 2011 -Thoa gui ngay 12-8-2012" xfId="953"/>
    <cellStyle name="_TG-TH_1_Luy ke von ung nam 2011 -Thoa gui ngay 12-8-2012 2" xfId="4421"/>
    <cellStyle name="_TG-TH_1_N-X-T-04" xfId="954"/>
    <cellStyle name="_TG-TH_1_NhanCong" xfId="955"/>
    <cellStyle name="_TG-TH_1_PGIA-phieu tham tra Kho bac" xfId="956"/>
    <cellStyle name="_TG-TH_1_PT02-02" xfId="957"/>
    <cellStyle name="_TG-TH_1_PT02-02_Book1" xfId="958"/>
    <cellStyle name="_TG-TH_1_PT02-03" xfId="959"/>
    <cellStyle name="_TG-TH_1_PT02-03_Book1" xfId="960"/>
    <cellStyle name="_TG-TH_1_phu luc tong ket tinh hinh TH giai doan 03-10 (ngay 30)" xfId="961"/>
    <cellStyle name="_TG-TH_1_phu luc tong ket tinh hinh TH giai doan 03-10 (ngay 30) 2" xfId="4422"/>
    <cellStyle name="_TG-TH_1_Qt-HT3PQ1(CauKho)" xfId="962"/>
    <cellStyle name="_TG-TH_1_Sheet1" xfId="963"/>
    <cellStyle name="_TG-TH_1_TK152-04" xfId="964"/>
    <cellStyle name="_TG-TH_1_ÿÿÿÿÿ" xfId="965"/>
    <cellStyle name="_TG-TH_1_ÿÿÿÿÿ 2" xfId="4423"/>
    <cellStyle name="_TG-TH_1_ÿÿÿÿÿ_Bieu mau cong trinh khoi cong moi 3-4" xfId="966"/>
    <cellStyle name="_TG-TH_1_ÿÿÿÿÿ_Bieu mau cong trinh khoi cong moi 3-4 2" xfId="4424"/>
    <cellStyle name="_TG-TH_1_ÿÿÿÿÿ_Bieu3ODA" xfId="967"/>
    <cellStyle name="_TG-TH_1_ÿÿÿÿÿ_Bieu3ODA 2" xfId="4425"/>
    <cellStyle name="_TG-TH_1_ÿÿÿÿÿ_Bieu4HTMT" xfId="968"/>
    <cellStyle name="_TG-TH_1_ÿÿÿÿÿ_Bieu4HTMT 2" xfId="4426"/>
    <cellStyle name="_TG-TH_1_ÿÿÿÿÿ_kien giang 2" xfId="969"/>
    <cellStyle name="_TG-TH_1_ÿÿÿÿÿ_KH TPCP vung TNB (03-1-2012)" xfId="970"/>
    <cellStyle name="_TG-TH_2" xfId="971"/>
    <cellStyle name="_TG-TH_2 2" xfId="972"/>
    <cellStyle name="_TG-TH_2_05-12  KH trung han 2016-2020 - Liem Thinh edited" xfId="973"/>
    <cellStyle name="_TG-TH_2_ApGiaVatTu_cayxanh_latgach" xfId="974"/>
    <cellStyle name="_TG-TH_2_BANG TONG HOP TINH HINH THANH QUYET TOAN (MOI I)" xfId="975"/>
    <cellStyle name="_TG-TH_2_BANG TONG HOP TINH HINH THANH QUYET TOAN (MOI I) 2" xfId="4427"/>
    <cellStyle name="_TG-TH_2_BAO CAO KLCT PT2000" xfId="976"/>
    <cellStyle name="_TG-TH_2_BAO CAO PT2000" xfId="977"/>
    <cellStyle name="_TG-TH_2_BAO CAO PT2000_Book1" xfId="978"/>
    <cellStyle name="_TG-TH_2_Bao cao XDCB 2001 - T11 KH dieu chinh 20-11-THAI" xfId="979"/>
    <cellStyle name="_TG-TH_2_BAO GIA NGAY 24-10-08 (co dam)" xfId="980"/>
    <cellStyle name="_TG-TH_2_BAO GIA NGAY 24-10-08 (co dam) 2" xfId="4428"/>
    <cellStyle name="_TG-TH_2_BC  NAM 2007" xfId="981"/>
    <cellStyle name="_TG-TH_2_BC CV 6403 BKHĐT" xfId="982"/>
    <cellStyle name="_TG-TH_2_BC CV 6403 BKHĐT 2" xfId="4429"/>
    <cellStyle name="_TG-TH_2_BC NQ11-CP - chinh sua lai" xfId="983"/>
    <cellStyle name="_TG-TH_2_BC NQ11-CP-Quynh sau bieu so3" xfId="984"/>
    <cellStyle name="_TG-TH_2_BC_NQ11-CP_-_Thao_sua_lai" xfId="985"/>
    <cellStyle name="_TG-TH_2_Bieu mau cong trinh khoi cong moi 3-4" xfId="986"/>
    <cellStyle name="_TG-TH_2_Bieu mau cong trinh khoi cong moi 3-4 2" xfId="4430"/>
    <cellStyle name="_TG-TH_2_Bieu3ODA" xfId="987"/>
    <cellStyle name="_TG-TH_2_Bieu3ODA_1" xfId="988"/>
    <cellStyle name="_TG-TH_2_Bieu4HTMT" xfId="989"/>
    <cellStyle name="_TG-TH_2_Bieu4HTMT 2" xfId="4431"/>
    <cellStyle name="_TG-TH_2_bo sung von KCH nam 2010 va Du an tre kho khan" xfId="990"/>
    <cellStyle name="_TG-TH_2_bo sung von KCH nam 2010 va Du an tre kho khan 2" xfId="4432"/>
    <cellStyle name="_TG-TH_2_Book1" xfId="991"/>
    <cellStyle name="_TG-TH_2_Book1 2" xfId="992"/>
    <cellStyle name="_TG-TH_2_Book1_1" xfId="993"/>
    <cellStyle name="_TG-TH_2_Book1_1 2" xfId="994"/>
    <cellStyle name="_TG-TH_2_Book1_1 3" xfId="4433"/>
    <cellStyle name="_TG-TH_2_Book1_1_BC CV 6403 BKHĐT" xfId="995"/>
    <cellStyle name="_TG-TH_2_Book1_1_BC CV 6403 BKHĐT 2" xfId="4434"/>
    <cellStyle name="_TG-TH_2_Book1_1_Bieu mau cong trinh khoi cong moi 3-4" xfId="996"/>
    <cellStyle name="_TG-TH_2_Book1_1_Bieu mau cong trinh khoi cong moi 3-4 2" xfId="4435"/>
    <cellStyle name="_TG-TH_2_Book1_1_Bieu3ODA" xfId="997"/>
    <cellStyle name="_TG-TH_2_Book1_1_Bieu3ODA 2" xfId="4436"/>
    <cellStyle name="_TG-TH_2_Book1_1_Bieu4HTMT" xfId="998"/>
    <cellStyle name="_TG-TH_2_Book1_1_Bieu4HTMT 2" xfId="4437"/>
    <cellStyle name="_TG-TH_2_Book1_1_Book1" xfId="999"/>
    <cellStyle name="_TG-TH_2_Book1_1_Luy ke von ung nam 2011 -Thoa gui ngay 12-8-2012" xfId="1000"/>
    <cellStyle name="_TG-TH_2_Book1_1_Luy ke von ung nam 2011 -Thoa gui ngay 12-8-2012 2" xfId="4438"/>
    <cellStyle name="_TG-TH_2_Book1_2" xfId="1001"/>
    <cellStyle name="_TG-TH_2_Book1_2 2" xfId="1002"/>
    <cellStyle name="_TG-TH_2_Book1_2_BC CV 6403 BKHĐT" xfId="1003"/>
    <cellStyle name="_TG-TH_2_Book1_2_Bieu3ODA" xfId="1004"/>
    <cellStyle name="_TG-TH_2_Book1_2_Luy ke von ung nam 2011 -Thoa gui ngay 12-8-2012" xfId="1005"/>
    <cellStyle name="_TG-TH_2_Book1_3" xfId="1006"/>
    <cellStyle name="_TG-TH_2_Book1_3 2" xfId="1007"/>
    <cellStyle name="_TG-TH_2_Book1_BC CV 6403 BKHĐT" xfId="1008"/>
    <cellStyle name="_TG-TH_2_Book1_Bieu mau cong trinh khoi cong moi 3-4" xfId="1009"/>
    <cellStyle name="_TG-TH_2_Book1_Bieu3ODA" xfId="1010"/>
    <cellStyle name="_TG-TH_2_Book1_Bieu4HTMT" xfId="1011"/>
    <cellStyle name="_TG-TH_2_Book1_bo sung von KCH nam 2010 va Du an tre kho khan" xfId="1012"/>
    <cellStyle name="_TG-TH_2_Book1_Book1" xfId="1013"/>
    <cellStyle name="_TG-TH_2_Book1_danh muc chuan bi dau tu 2011 ngay 07-6-2011" xfId="1014"/>
    <cellStyle name="_TG-TH_2_Book1_Danh muc pbo nguon von XSKT, XDCB nam 2009 chuyen qua nam 2010" xfId="1015"/>
    <cellStyle name="_TG-TH_2_Book1_dieu chinh KH 2011 ngay 26-5-2011111" xfId="1016"/>
    <cellStyle name="_TG-TH_2_Book1_DS KCH PHAN BO VON NSDP NAM 2010" xfId="1017"/>
    <cellStyle name="_TG-TH_2_Book1_giao KH 2011 ngay 10-12-2010" xfId="1018"/>
    <cellStyle name="_TG-TH_2_Book1_Luy ke von ung nam 2011 -Thoa gui ngay 12-8-2012" xfId="1019"/>
    <cellStyle name="_TG-TH_2_CAU Khanh Nam(Thi Cong)" xfId="1020"/>
    <cellStyle name="_TG-TH_2_CAU Khanh Nam(Thi Cong) 2" xfId="4439"/>
    <cellStyle name="_TG-TH_2_CoCauPhi (version 1)" xfId="1021"/>
    <cellStyle name="_TG-TH_2_Copy of 05-12  KH trung han 2016-2020 - Liem Thinh edited (1)" xfId="1022"/>
    <cellStyle name="_TG-TH_2_ChiHuong_ApGia" xfId="1023"/>
    <cellStyle name="_TG-TH_2_ChiHuong_ApGia 2" xfId="4440"/>
    <cellStyle name="_TG-TH_2_danh muc chuan bi dau tu 2011 ngay 07-6-2011" xfId="1024"/>
    <cellStyle name="_TG-TH_2_Danh muc pbo nguon von XSKT, XDCB nam 2009 chuyen qua nam 2010" xfId="1025"/>
    <cellStyle name="_TG-TH_2_Danh muc pbo nguon von XSKT, XDCB nam 2009 chuyen qua nam 2010 2" xfId="4441"/>
    <cellStyle name="_TG-TH_2_DAU NOI PL-CL TAI PHU LAMHC" xfId="1026"/>
    <cellStyle name="_TG-TH_2_dieu chinh KH 2011 ngay 26-5-2011111" xfId="1027"/>
    <cellStyle name="_TG-TH_2_DS KCH PHAN BO VON NSDP NAM 2010" xfId="1028"/>
    <cellStyle name="_TG-TH_2_DS KCH PHAN BO VON NSDP NAM 2010 2" xfId="4442"/>
    <cellStyle name="_TG-TH_2_DTCDT MR.2N110.HOCMON.TDTOAN.CCUNG" xfId="1029"/>
    <cellStyle name="_TG-TH_2_DU TRU VAT TU" xfId="1030"/>
    <cellStyle name="_TG-TH_2_DU TRU VAT TU 2" xfId="4443"/>
    <cellStyle name="_TG-TH_2_GTGT 2003" xfId="1031"/>
    <cellStyle name="_TG-TH_2_giao KH 2011 ngay 10-12-2010" xfId="1032"/>
    <cellStyle name="_TG-TH_2_KE KHAI THUE GTGT 2004" xfId="1033"/>
    <cellStyle name="_TG-TH_2_KE KHAI THUE GTGT 2004 2" xfId="4444"/>
    <cellStyle name="_TG-TH_2_KE KHAI THUE GTGT 2004_BCTC2004" xfId="1034"/>
    <cellStyle name="_TG-TH_2_kien giang 2" xfId="1035"/>
    <cellStyle name="_TG-TH_2_KH TPCP 2016-2020 (tong hop)" xfId="1036"/>
    <cellStyle name="_TG-TH_2_KH TPCP vung TNB (03-1-2012)" xfId="1037"/>
    <cellStyle name="_TG-TH_2_Lora-tungchau" xfId="1038"/>
    <cellStyle name="_TG-TH_2_Luy ke von ung nam 2011 -Thoa gui ngay 12-8-2012" xfId="1039"/>
    <cellStyle name="_TG-TH_2_Luy ke von ung nam 2011 -Thoa gui ngay 12-8-2012 2" xfId="4445"/>
    <cellStyle name="_TG-TH_2_N-X-T-04" xfId="1040"/>
    <cellStyle name="_TG-TH_2_NhanCong" xfId="1041"/>
    <cellStyle name="_TG-TH_2_PGIA-phieu tham tra Kho bac" xfId="1042"/>
    <cellStyle name="_TG-TH_2_PT02-02" xfId="1043"/>
    <cellStyle name="_TG-TH_2_PT02-02_Book1" xfId="1044"/>
    <cellStyle name="_TG-TH_2_PT02-03" xfId="1045"/>
    <cellStyle name="_TG-TH_2_PT02-03_Book1" xfId="1046"/>
    <cellStyle name="_TG-TH_2_phu luc tong ket tinh hinh TH giai doan 03-10 (ngay 30)" xfId="1047"/>
    <cellStyle name="_TG-TH_2_phu luc tong ket tinh hinh TH giai doan 03-10 (ngay 30) 2" xfId="4446"/>
    <cellStyle name="_TG-TH_2_Qt-HT3PQ1(CauKho)" xfId="1048"/>
    <cellStyle name="_TG-TH_2_Sheet1" xfId="1049"/>
    <cellStyle name="_TG-TH_2_TK152-04" xfId="1050"/>
    <cellStyle name="_TG-TH_2_ÿÿÿÿÿ" xfId="1051"/>
    <cellStyle name="_TG-TH_2_ÿÿÿÿÿ 2" xfId="4447"/>
    <cellStyle name="_TG-TH_2_ÿÿÿÿÿ_Bieu mau cong trinh khoi cong moi 3-4" xfId="1052"/>
    <cellStyle name="_TG-TH_2_ÿÿÿÿÿ_Bieu mau cong trinh khoi cong moi 3-4 2" xfId="4448"/>
    <cellStyle name="_TG-TH_2_ÿÿÿÿÿ_Bieu3ODA" xfId="1053"/>
    <cellStyle name="_TG-TH_2_ÿÿÿÿÿ_Bieu3ODA 2" xfId="4449"/>
    <cellStyle name="_TG-TH_2_ÿÿÿÿÿ_Bieu4HTMT" xfId="1054"/>
    <cellStyle name="_TG-TH_2_ÿÿÿÿÿ_Bieu4HTMT 2" xfId="4450"/>
    <cellStyle name="_TG-TH_2_ÿÿÿÿÿ_kien giang 2" xfId="1055"/>
    <cellStyle name="_TG-TH_2_ÿÿÿÿÿ_KH TPCP vung TNB (03-1-2012)" xfId="1056"/>
    <cellStyle name="_TG-TH_3" xfId="1057"/>
    <cellStyle name="_TG-TH_3 2" xfId="1058"/>
    <cellStyle name="_TG-TH_3_05-12  KH trung han 2016-2020 - Liem Thinh edited" xfId="1059"/>
    <cellStyle name="_TG-TH_3_Copy of 05-12  KH trung han 2016-2020 - Liem Thinh edited (1)" xfId="1060"/>
    <cellStyle name="_TG-TH_3_KH TPCP 2016-2020 (tong hop)" xfId="1061"/>
    <cellStyle name="_TG-TH_3_Lora-tungchau" xfId="1062"/>
    <cellStyle name="_TG-TH_3_Lora-tungchau 2" xfId="1063"/>
    <cellStyle name="_TG-TH_3_Lora-tungchau_05-12  KH trung han 2016-2020 - Liem Thinh edited" xfId="1064"/>
    <cellStyle name="_TG-TH_3_Lora-tungchau_Copy of 05-12  KH trung han 2016-2020 - Liem Thinh edited (1)" xfId="1065"/>
    <cellStyle name="_TG-TH_3_Lora-tungchau_KH TPCP 2016-2020 (tong hop)" xfId="1066"/>
    <cellStyle name="_TG-TH_3_Qt-HT3PQ1(CauKho)" xfId="1067"/>
    <cellStyle name="_TG-TH_4" xfId="1068"/>
    <cellStyle name="_TK152-04" xfId="1069"/>
    <cellStyle name="_Tong dutoan PP LAHAI" xfId="1070"/>
    <cellStyle name="_TPCP GT-24-5-Mien Nui" xfId="1071"/>
    <cellStyle name="_TPCP GT-24-5-Mien Nui_!1 1 bao cao giao KH ve HTCMT vung TNB   12-12-2011" xfId="1072"/>
    <cellStyle name="_TPCP GT-24-5-Mien Nui_Bieu4HTMT" xfId="1073"/>
    <cellStyle name="_TPCP GT-24-5-Mien Nui_Bieu4HTMT_!1 1 bao cao giao KH ve HTCMT vung TNB   12-12-2011" xfId="1074"/>
    <cellStyle name="_TPCP GT-24-5-Mien Nui_Bieu4HTMT_KH TPCP vung TNB (03-1-2012)" xfId="1075"/>
    <cellStyle name="_TPCP GT-24-5-Mien Nui_KH TPCP vung TNB (03-1-2012)" xfId="1076"/>
    <cellStyle name="_TH KH 2010" xfId="1077"/>
    <cellStyle name="_ung truoc 2011 NSTW Thanh Hoa + Nge An gui Thu 12-5" xfId="1078"/>
    <cellStyle name="_ung truoc 2011 NSTW Thanh Hoa + Nge An gui Thu 12-5_!1 1 bao cao giao KH ve HTCMT vung TNB   12-12-2011" xfId="1079"/>
    <cellStyle name="_ung truoc 2011 NSTW Thanh Hoa + Nge An gui Thu 12-5_Bieu4HTMT" xfId="1080"/>
    <cellStyle name="_ung truoc 2011 NSTW Thanh Hoa + Nge An gui Thu 12-5_Bieu4HTMT_!1 1 bao cao giao KH ve HTCMT vung TNB   12-12-2011" xfId="1081"/>
    <cellStyle name="_ung truoc 2011 NSTW Thanh Hoa + Nge An gui Thu 12-5_Bieu4HTMT_KH TPCP vung TNB (03-1-2012)" xfId="1082"/>
    <cellStyle name="_ung truoc 2011 NSTW Thanh Hoa + Nge An gui Thu 12-5_KH TPCP vung TNB (03-1-2012)" xfId="1083"/>
    <cellStyle name="_ung truoc cua long an (6-5-2010)" xfId="1084"/>
    <cellStyle name="_Ung von nam 2011 vung TNB - Doan Cong tac (12-5-2010)" xfId="1085"/>
    <cellStyle name="_Ung von nam 2011 vung TNB - Doan Cong tac (12-5-2010)_!1 1 bao cao giao KH ve HTCMT vung TNB   12-12-2011" xfId="1086"/>
    <cellStyle name="_Ung von nam 2011 vung TNB - Doan Cong tac (12-5-2010)_Bieu4HTMT" xfId="1087"/>
    <cellStyle name="_Ung von nam 2011 vung TNB - Doan Cong tac (12-5-2010)_Bieu4HTMT_!1 1 bao cao giao KH ve HTCMT vung TNB   12-12-2011" xfId="1088"/>
    <cellStyle name="_Ung von nam 2011 vung TNB - Doan Cong tac (12-5-2010)_Bieu4HTMT_KH TPCP vung TNB (03-1-2012)" xfId="1089"/>
    <cellStyle name="_Ung von nam 2011 vung TNB - Doan Cong tac (12-5-2010)_Cong trinh co y kien LD_Dang_NN_2011-Tay nguyen-9-10" xfId="1090"/>
    <cellStyle name="_Ung von nam 2011 vung TNB - Doan Cong tac (12-5-2010)_Cong trinh co y kien LD_Dang_NN_2011-Tay nguyen-9-10_!1 1 bao cao giao KH ve HTCMT vung TNB   12-12-2011" xfId="1091"/>
    <cellStyle name="_Ung von nam 2011 vung TNB - Doan Cong tac (12-5-2010)_Cong trinh co y kien LD_Dang_NN_2011-Tay nguyen-9-10_Bieu4HTMT" xfId="1092"/>
    <cellStyle name="_Ung von nam 2011 vung TNB - Doan Cong tac (12-5-2010)_Cong trinh co y kien LD_Dang_NN_2011-Tay nguyen-9-10_Bieu4HTMT_!1 1 bao cao giao KH ve HTCMT vung TNB   12-12-2011" xfId="1093"/>
    <cellStyle name="_Ung von nam 2011 vung TNB - Doan Cong tac (12-5-2010)_Cong trinh co y kien LD_Dang_NN_2011-Tay nguyen-9-10_Bieu4HTMT_KH TPCP vung TNB (03-1-2012)" xfId="1094"/>
    <cellStyle name="_Ung von nam 2011 vung TNB - Doan Cong tac (12-5-2010)_Cong trinh co y kien LD_Dang_NN_2011-Tay nguyen-9-10_KH TPCP vung TNB (03-1-2012)" xfId="1095"/>
    <cellStyle name="_Ung von nam 2011 vung TNB - Doan Cong tac (12-5-2010)_Chuẩn bị đầu tư 2011 (sep Hung)_KH 2012 (T3-2013)" xfId="1096"/>
    <cellStyle name="_Ung von nam 2011 vung TNB - Doan Cong tac (12-5-2010)_KH TPCP vung TNB (03-1-2012)" xfId="1097"/>
    <cellStyle name="_Ung von nam 2011 vung TNB - Doan Cong tac (12-5-2010)_TN - Ho tro khac 2011" xfId="1098"/>
    <cellStyle name="_Ung von nam 2011 vung TNB - Doan Cong tac (12-5-2010)_TN - Ho tro khac 2011_!1 1 bao cao giao KH ve HTCMT vung TNB   12-12-2011" xfId="1099"/>
    <cellStyle name="_Ung von nam 2011 vung TNB - Doan Cong tac (12-5-2010)_TN - Ho tro khac 2011_Bieu4HTMT" xfId="1100"/>
    <cellStyle name="_Ung von nam 2011 vung TNB - Doan Cong tac (12-5-2010)_TN - Ho tro khac 2011_Bieu4HTMT_!1 1 bao cao giao KH ve HTCMT vung TNB   12-12-2011" xfId="1101"/>
    <cellStyle name="_Ung von nam 2011 vung TNB - Doan Cong tac (12-5-2010)_TN - Ho tro khac 2011_Bieu4HTMT_KH TPCP vung TNB (03-1-2012)" xfId="1102"/>
    <cellStyle name="_Ung von nam 2011 vung TNB - Doan Cong tac (12-5-2010)_TN - Ho tro khac 2011_KH TPCP vung TNB (03-1-2012)" xfId="1103"/>
    <cellStyle name="_Von dau tu 2006-2020 (TL chien luoc)" xfId="1104"/>
    <cellStyle name="_Von dau tu 2006-2020 (TL chien luoc)_15_10_2013 BC nhu cau von doi ung ODA (2014-2016) ngay 15102013 Sua" xfId="1105"/>
    <cellStyle name="_Von dau tu 2006-2020 (TL chien luoc)_BC nhu cau von doi ung ODA nganh NN (BKH)" xfId="1106"/>
    <cellStyle name="_Von dau tu 2006-2020 (TL chien luoc)_BC nhu cau von doi ung ODA nganh NN (BKH)_05-12  KH trung han 2016-2020 - Liem Thinh edited" xfId="1107"/>
    <cellStyle name="_Von dau tu 2006-2020 (TL chien luoc)_BC nhu cau von doi ung ODA nganh NN (BKH)_Copy of 05-12  KH trung han 2016-2020 - Liem Thinh edited (1)" xfId="1108"/>
    <cellStyle name="_Von dau tu 2006-2020 (TL chien luoc)_BC Tai co cau (bieu TH)" xfId="1109"/>
    <cellStyle name="_Von dau tu 2006-2020 (TL chien luoc)_BC Tai co cau (bieu TH)_05-12  KH trung han 2016-2020 - Liem Thinh edited" xfId="1110"/>
    <cellStyle name="_Von dau tu 2006-2020 (TL chien luoc)_BC Tai co cau (bieu TH)_Copy of 05-12  KH trung han 2016-2020 - Liem Thinh edited (1)" xfId="1111"/>
    <cellStyle name="_Von dau tu 2006-2020 (TL chien luoc)_DK 2014-2015 final" xfId="1112"/>
    <cellStyle name="_Von dau tu 2006-2020 (TL chien luoc)_DK 2014-2015 final_05-12  KH trung han 2016-2020 - Liem Thinh edited" xfId="1113"/>
    <cellStyle name="_Von dau tu 2006-2020 (TL chien luoc)_DK 2014-2015 final_Copy of 05-12  KH trung han 2016-2020 - Liem Thinh edited (1)" xfId="1114"/>
    <cellStyle name="_Von dau tu 2006-2020 (TL chien luoc)_DK 2014-2015 new" xfId="1115"/>
    <cellStyle name="_Von dau tu 2006-2020 (TL chien luoc)_DK 2014-2015 new_05-12  KH trung han 2016-2020 - Liem Thinh edited" xfId="1116"/>
    <cellStyle name="_Von dau tu 2006-2020 (TL chien luoc)_DK 2014-2015 new_Copy of 05-12  KH trung han 2016-2020 - Liem Thinh edited (1)" xfId="1117"/>
    <cellStyle name="_Von dau tu 2006-2020 (TL chien luoc)_DK KH CBDT 2014 11-11-2013" xfId="1118"/>
    <cellStyle name="_Von dau tu 2006-2020 (TL chien luoc)_DK KH CBDT 2014 11-11-2013(1)" xfId="1119"/>
    <cellStyle name="_Von dau tu 2006-2020 (TL chien luoc)_DK KH CBDT 2014 11-11-2013(1)_05-12  KH trung han 2016-2020 - Liem Thinh edited" xfId="1120"/>
    <cellStyle name="_Von dau tu 2006-2020 (TL chien luoc)_DK KH CBDT 2014 11-11-2013(1)_Copy of 05-12  KH trung han 2016-2020 - Liem Thinh edited (1)" xfId="1121"/>
    <cellStyle name="_Von dau tu 2006-2020 (TL chien luoc)_DK KH CBDT 2014 11-11-2013_05-12  KH trung han 2016-2020 - Liem Thinh edited" xfId="1122"/>
    <cellStyle name="_Von dau tu 2006-2020 (TL chien luoc)_DK KH CBDT 2014 11-11-2013_Copy of 05-12  KH trung han 2016-2020 - Liem Thinh edited (1)" xfId="1123"/>
    <cellStyle name="_Von dau tu 2006-2020 (TL chien luoc)_KH 2011-2015" xfId="1124"/>
    <cellStyle name="_Von dau tu 2006-2020 (TL chien luoc)_tai co cau dau tu (tong hop)1" xfId="1125"/>
    <cellStyle name="_x005f_x0001_" xfId="1126"/>
    <cellStyle name="_x005f_x0001__!1 1 bao cao giao KH ve HTCMT vung TNB   12-12-2011" xfId="1127"/>
    <cellStyle name="_x005f_x0001__kien giang 2" xfId="1128"/>
    <cellStyle name="_x005f_x000d__x005f_x000a_JournalTemplate=C:\COMFO\CTALK\JOURSTD.TPL_x005f_x000d__x005f_x000a_LbStateAddress=3 3 0 251 1 89 2 311_x005f_x000d__x005f_x000a_LbStateJou" xfId="1129"/>
    <cellStyle name="_x005f_x005f_x005f_x0001_" xfId="1130"/>
    <cellStyle name="_x005f_x005f_x005f_x0001__!1 1 bao cao giao KH ve HTCMT vung TNB   12-12-2011" xfId="1131"/>
    <cellStyle name="_x005f_x005f_x005f_x0001__kien giang 2" xfId="1132"/>
    <cellStyle name="_x005f_x005f_x005f_x000d__x005f_x005f_x005f_x000a_JournalTemplate=C:\COMFO\CTALK\JOURSTD.TPL_x005f_x005f_x005f_x000d__x005f_x005f_x005f_x000a_LbStateAddress=3 3 0 251 1 89 2 311_x005f_x005f_x005f_x000d__x005f_x005f_x005f_x000a_LbStateJou" xfId="1133"/>
    <cellStyle name="_XDCB thang 12.2010" xfId="1134"/>
    <cellStyle name="_ÿÿÿÿÿ" xfId="1135"/>
    <cellStyle name="_ÿÿÿÿÿ_Bieu mau cong trinh khoi cong moi 3-4" xfId="1136"/>
    <cellStyle name="_ÿÿÿÿÿ_Bieu mau cong trinh khoi cong moi 3-4_!1 1 bao cao giao KH ve HTCMT vung TNB   12-12-2011" xfId="1137"/>
    <cellStyle name="_ÿÿÿÿÿ_Bieu mau cong trinh khoi cong moi 3-4_KH TPCP vung TNB (03-1-2012)" xfId="1138"/>
    <cellStyle name="_ÿÿÿÿÿ_Bieu3ODA" xfId="1139"/>
    <cellStyle name="_ÿÿÿÿÿ_Bieu3ODA_!1 1 bao cao giao KH ve HTCMT vung TNB   12-12-2011" xfId="1140"/>
    <cellStyle name="_ÿÿÿÿÿ_Bieu3ODA_KH TPCP vung TNB (03-1-2012)" xfId="1141"/>
    <cellStyle name="_ÿÿÿÿÿ_Bieu4HTMT" xfId="1142"/>
    <cellStyle name="_ÿÿÿÿÿ_Bieu4HTMT_!1 1 bao cao giao KH ve HTCMT vung TNB   12-12-2011" xfId="1143"/>
    <cellStyle name="_ÿÿÿÿÿ_Bieu4HTMT_KH TPCP vung TNB (03-1-2012)" xfId="1144"/>
    <cellStyle name="_ÿÿÿÿÿ_kien giang 2" xfId="1145"/>
    <cellStyle name="_ÿÿÿÿÿ_Kh ql62 (2010) 11-09" xfId="1146"/>
    <cellStyle name="_ÿÿÿÿÿ_KH TPCP vung TNB (03-1-2012)" xfId="1147"/>
    <cellStyle name="_ÿÿÿÿÿ_Khung 2012" xfId="1148"/>
    <cellStyle name="~1" xfId="1149"/>
    <cellStyle name="’Ê‰Ý [0.00]_laroux" xfId="1150"/>
    <cellStyle name="’Ê‰Ý_laroux" xfId="1151"/>
    <cellStyle name="¤@¯ë_CHI PHI QUAN LY 1-00" xfId="1152"/>
    <cellStyle name="•W?_Format" xfId="1153"/>
    <cellStyle name="•W_’·Šú‰p•¶" xfId="1155"/>
    <cellStyle name="•W€_’·Šú‰p•¶" xfId="1154"/>
    <cellStyle name="0" xfId="1157"/>
    <cellStyle name="0 2" xfId="1158"/>
    <cellStyle name="0,0_x000a__x000a_NA_x000a__x000a_" xfId="1159"/>
    <cellStyle name="0,0_x000d__x000a_NA_x000d__x000a_" xfId="1160"/>
    <cellStyle name="0,0_x000d__x000a_NA_x000d__x000a_ 2" xfId="1161"/>
    <cellStyle name="0,0_x000d__x000a_NA_x000d__x000a__Thanh hoa chinh thuc 28-2" xfId="1162"/>
    <cellStyle name="0,0_x005f_x000d__x005f_x000a_NA_x005f_x000d__x005f_x000a_" xfId="1163"/>
    <cellStyle name="0.0" xfId="1164"/>
    <cellStyle name="0.0 2" xfId="1165"/>
    <cellStyle name="0.00" xfId="1166"/>
    <cellStyle name="0.00 2" xfId="1167"/>
    <cellStyle name="1" xfId="1168"/>
    <cellStyle name="1 2" xfId="1169"/>
    <cellStyle name="1_!1 1 bao cao giao KH ve HTCMT vung TNB   12-12-2011" xfId="1170"/>
    <cellStyle name="1_BAO GIA NGAY 24-10-08 (co dam)" xfId="1171"/>
    <cellStyle name="1_Bieu4HTMT" xfId="1172"/>
    <cellStyle name="1_Book1" xfId="1173"/>
    <cellStyle name="1_Book1_1" xfId="1174"/>
    <cellStyle name="1_Book1_1_!1 1 bao cao giao KH ve HTCMT vung TNB   12-12-2011" xfId="1175"/>
    <cellStyle name="1_Book1_1_Bieu4HTMT" xfId="1176"/>
    <cellStyle name="1_Book1_1_Bieu4HTMT_!1 1 bao cao giao KH ve HTCMT vung TNB   12-12-2011" xfId="1177"/>
    <cellStyle name="1_Book1_1_Bieu4HTMT_KH TPCP vung TNB (03-1-2012)" xfId="1178"/>
    <cellStyle name="1_Book1_1_KH TPCP vung TNB (03-1-2012)" xfId="1179"/>
    <cellStyle name="1_Cau thuy dien Ban La (Cu Anh)" xfId="1180"/>
    <cellStyle name="1_Cau thuy dien Ban La (Cu Anh)_!1 1 bao cao giao KH ve HTCMT vung TNB   12-12-2011" xfId="1181"/>
    <cellStyle name="1_Cau thuy dien Ban La (Cu Anh)_Bieu4HTMT" xfId="1182"/>
    <cellStyle name="1_Cau thuy dien Ban La (Cu Anh)_Bieu4HTMT_!1 1 bao cao giao KH ve HTCMT vung TNB   12-12-2011" xfId="1183"/>
    <cellStyle name="1_Cau thuy dien Ban La (Cu Anh)_Bieu4HTMT_KH TPCP vung TNB (03-1-2012)" xfId="1184"/>
    <cellStyle name="1_Cau thuy dien Ban La (Cu Anh)_KH TPCP vung TNB (03-1-2012)" xfId="1185"/>
    <cellStyle name="1_Cong trinh co y kien LD_Dang_NN_2011-Tay nguyen-9-10" xfId="1186"/>
    <cellStyle name="1_Du toan 558 (Km17+508.12 - Km 22)" xfId="1187"/>
    <cellStyle name="1_Du toan 558 (Km17+508.12 - Km 22)_!1 1 bao cao giao KH ve HTCMT vung TNB   12-12-2011" xfId="1188"/>
    <cellStyle name="1_Du toan 558 (Km17+508.12 - Km 22)_Bieu4HTMT" xfId="1189"/>
    <cellStyle name="1_Du toan 558 (Km17+508.12 - Km 22)_Bieu4HTMT_!1 1 bao cao giao KH ve HTCMT vung TNB   12-12-2011" xfId="1190"/>
    <cellStyle name="1_Du toan 558 (Km17+508.12 - Km 22)_Bieu4HTMT_KH TPCP vung TNB (03-1-2012)" xfId="1191"/>
    <cellStyle name="1_Du toan 558 (Km17+508.12 - Km 22)_KH TPCP vung TNB (03-1-2012)" xfId="1192"/>
    <cellStyle name="1_Gia_VLQL48_duyet " xfId="1193"/>
    <cellStyle name="1_Gia_VLQL48_duyet _!1 1 bao cao giao KH ve HTCMT vung TNB   12-12-2011" xfId="1194"/>
    <cellStyle name="1_Gia_VLQL48_duyet _Bieu4HTMT" xfId="1195"/>
    <cellStyle name="1_Gia_VLQL48_duyet _Bieu4HTMT_!1 1 bao cao giao KH ve HTCMT vung TNB   12-12-2011" xfId="1196"/>
    <cellStyle name="1_Gia_VLQL48_duyet _Bieu4HTMT_KH TPCP vung TNB (03-1-2012)" xfId="1197"/>
    <cellStyle name="1_Gia_VLQL48_duyet _KH TPCP vung TNB (03-1-2012)" xfId="1198"/>
    <cellStyle name="1_KlQdinhduyet" xfId="1199"/>
    <cellStyle name="1_KlQdinhduyet_!1 1 bao cao giao KH ve HTCMT vung TNB   12-12-2011" xfId="1200"/>
    <cellStyle name="1_KlQdinhduyet_Bieu4HTMT" xfId="1201"/>
    <cellStyle name="1_KlQdinhduyet_Bieu4HTMT_!1 1 bao cao giao KH ve HTCMT vung TNB   12-12-2011" xfId="1202"/>
    <cellStyle name="1_KlQdinhduyet_Bieu4HTMT_KH TPCP vung TNB (03-1-2012)" xfId="1203"/>
    <cellStyle name="1_KlQdinhduyet_KH TPCP vung TNB (03-1-2012)" xfId="1204"/>
    <cellStyle name="1_Kh ql62 (2010) 11-09" xfId="1205"/>
    <cellStyle name="1_KH TPCP vung TNB (03-1-2012)" xfId="1206"/>
    <cellStyle name="1_Khung 2012" xfId="1207"/>
    <cellStyle name="1_TN - Ho tro khac 2011" xfId="1208"/>
    <cellStyle name="1_TRUNG PMU 5" xfId="1209"/>
    <cellStyle name="1_ÿÿÿÿÿ" xfId="1210"/>
    <cellStyle name="1_ÿÿÿÿÿ_Bieu tong hop nhu cau ung 2011 da chon loc -Mien nui" xfId="1211"/>
    <cellStyle name="1_ÿÿÿÿÿ_Bieu tong hop nhu cau ung 2011 da chon loc -Mien nui 2" xfId="1212"/>
    <cellStyle name="1_ÿÿÿÿÿ_Kh ql62 (2010) 11-09" xfId="1213"/>
    <cellStyle name="1_ÿÿÿÿÿ_Khung 2012" xfId="1214"/>
    <cellStyle name="15" xfId="1215"/>
    <cellStyle name="18" xfId="1216"/>
    <cellStyle name="¹éºÐÀ²_      " xfId="1217"/>
    <cellStyle name="2" xfId="1218"/>
    <cellStyle name="2_Book1" xfId="1219"/>
    <cellStyle name="2_Book1_1" xfId="1220"/>
    <cellStyle name="2_Book1_1_!1 1 bao cao giao KH ve HTCMT vung TNB   12-12-2011" xfId="1221"/>
    <cellStyle name="2_Book1_1_Bieu4HTMT" xfId="1222"/>
    <cellStyle name="2_Book1_1_Bieu4HTMT_!1 1 bao cao giao KH ve HTCMT vung TNB   12-12-2011" xfId="1223"/>
    <cellStyle name="2_Book1_1_Bieu4HTMT_KH TPCP vung TNB (03-1-2012)" xfId="1224"/>
    <cellStyle name="2_Book1_1_KH TPCP vung TNB (03-1-2012)" xfId="1225"/>
    <cellStyle name="2_Cau thuy dien Ban La (Cu Anh)" xfId="1226"/>
    <cellStyle name="2_Cau thuy dien Ban La (Cu Anh)_!1 1 bao cao giao KH ve HTCMT vung TNB   12-12-2011" xfId="1227"/>
    <cellStyle name="2_Cau thuy dien Ban La (Cu Anh)_Bieu4HTMT" xfId="1228"/>
    <cellStyle name="2_Cau thuy dien Ban La (Cu Anh)_Bieu4HTMT_!1 1 bao cao giao KH ve HTCMT vung TNB   12-12-2011" xfId="1229"/>
    <cellStyle name="2_Cau thuy dien Ban La (Cu Anh)_Bieu4HTMT_KH TPCP vung TNB (03-1-2012)" xfId="1230"/>
    <cellStyle name="2_Cau thuy dien Ban La (Cu Anh)_KH TPCP vung TNB (03-1-2012)" xfId="1231"/>
    <cellStyle name="2_Du toan 558 (Km17+508.12 - Km 22)" xfId="1232"/>
    <cellStyle name="2_Du toan 558 (Km17+508.12 - Km 22)_!1 1 bao cao giao KH ve HTCMT vung TNB   12-12-2011" xfId="1233"/>
    <cellStyle name="2_Du toan 558 (Km17+508.12 - Km 22)_Bieu4HTMT" xfId="1234"/>
    <cellStyle name="2_Du toan 558 (Km17+508.12 - Km 22)_Bieu4HTMT_!1 1 bao cao giao KH ve HTCMT vung TNB   12-12-2011" xfId="1235"/>
    <cellStyle name="2_Du toan 558 (Km17+508.12 - Km 22)_Bieu4HTMT_KH TPCP vung TNB (03-1-2012)" xfId="1236"/>
    <cellStyle name="2_Du toan 558 (Km17+508.12 - Km 22)_KH TPCP vung TNB (03-1-2012)" xfId="1237"/>
    <cellStyle name="2_Gia_VLQL48_duyet " xfId="1238"/>
    <cellStyle name="2_Gia_VLQL48_duyet _!1 1 bao cao giao KH ve HTCMT vung TNB   12-12-2011" xfId="1239"/>
    <cellStyle name="2_Gia_VLQL48_duyet _Bieu4HTMT" xfId="1240"/>
    <cellStyle name="2_Gia_VLQL48_duyet _Bieu4HTMT_!1 1 bao cao giao KH ve HTCMT vung TNB   12-12-2011" xfId="1241"/>
    <cellStyle name="2_Gia_VLQL48_duyet _Bieu4HTMT_KH TPCP vung TNB (03-1-2012)" xfId="1242"/>
    <cellStyle name="2_Gia_VLQL48_duyet _KH TPCP vung TNB (03-1-2012)" xfId="1243"/>
    <cellStyle name="2_KlQdinhduyet" xfId="1244"/>
    <cellStyle name="2_KlQdinhduyet_!1 1 bao cao giao KH ve HTCMT vung TNB   12-12-2011" xfId="1245"/>
    <cellStyle name="2_KlQdinhduyet_Bieu4HTMT" xfId="1246"/>
    <cellStyle name="2_KlQdinhduyet_Bieu4HTMT_!1 1 bao cao giao KH ve HTCMT vung TNB   12-12-2011" xfId="1247"/>
    <cellStyle name="2_KlQdinhduyet_Bieu4HTMT_KH TPCP vung TNB (03-1-2012)" xfId="1248"/>
    <cellStyle name="2_KlQdinhduyet_KH TPCP vung TNB (03-1-2012)" xfId="1249"/>
    <cellStyle name="2_TRUNG PMU 5" xfId="1250"/>
    <cellStyle name="2_ÿÿÿÿÿ" xfId="1251"/>
    <cellStyle name="2_ÿÿÿÿÿ_Bieu tong hop nhu cau ung 2011 da chon loc -Mien nui" xfId="1252"/>
    <cellStyle name="2_ÿÿÿÿÿ_Bieu tong hop nhu cau ung 2011 da chon loc -Mien nui 2" xfId="1253"/>
    <cellStyle name="20% - Accent1 2" xfId="1254"/>
    <cellStyle name="20% - Accent2 2" xfId="1255"/>
    <cellStyle name="20% - Accent3 2" xfId="1256"/>
    <cellStyle name="20% - Accent4 2" xfId="1257"/>
    <cellStyle name="20% - Accent5 2" xfId="1258"/>
    <cellStyle name="20% - Accent6 2" xfId="1259"/>
    <cellStyle name="-2001" xfId="1260"/>
    <cellStyle name="3" xfId="1261"/>
    <cellStyle name="3_Book1" xfId="1262"/>
    <cellStyle name="3_Book1_1" xfId="1263"/>
    <cellStyle name="3_Book1_1_!1 1 bao cao giao KH ve HTCMT vung TNB   12-12-2011" xfId="1264"/>
    <cellStyle name="3_Book1_1_Bieu4HTMT" xfId="1265"/>
    <cellStyle name="3_Book1_1_Bieu4HTMT_!1 1 bao cao giao KH ve HTCMT vung TNB   12-12-2011" xfId="1266"/>
    <cellStyle name="3_Book1_1_Bieu4HTMT_KH TPCP vung TNB (03-1-2012)" xfId="1267"/>
    <cellStyle name="3_Book1_1_KH TPCP vung TNB (03-1-2012)" xfId="1268"/>
    <cellStyle name="3_Cau thuy dien Ban La (Cu Anh)" xfId="1269"/>
    <cellStyle name="3_Cau thuy dien Ban La (Cu Anh)_!1 1 bao cao giao KH ve HTCMT vung TNB   12-12-2011" xfId="1270"/>
    <cellStyle name="3_Cau thuy dien Ban La (Cu Anh)_Bieu4HTMT" xfId="1271"/>
    <cellStyle name="3_Cau thuy dien Ban La (Cu Anh)_Bieu4HTMT_!1 1 bao cao giao KH ve HTCMT vung TNB   12-12-2011" xfId="1272"/>
    <cellStyle name="3_Cau thuy dien Ban La (Cu Anh)_Bieu4HTMT_KH TPCP vung TNB (03-1-2012)" xfId="1273"/>
    <cellStyle name="3_Cau thuy dien Ban La (Cu Anh)_KH TPCP vung TNB (03-1-2012)" xfId="1274"/>
    <cellStyle name="3_Du toan 558 (Km17+508.12 - Km 22)" xfId="1275"/>
    <cellStyle name="3_Du toan 558 (Km17+508.12 - Km 22)_!1 1 bao cao giao KH ve HTCMT vung TNB   12-12-2011" xfId="1276"/>
    <cellStyle name="3_Du toan 558 (Km17+508.12 - Km 22)_Bieu4HTMT" xfId="1277"/>
    <cellStyle name="3_Du toan 558 (Km17+508.12 - Km 22)_Bieu4HTMT_!1 1 bao cao giao KH ve HTCMT vung TNB   12-12-2011" xfId="1278"/>
    <cellStyle name="3_Du toan 558 (Km17+508.12 - Km 22)_Bieu4HTMT_KH TPCP vung TNB (03-1-2012)" xfId="1279"/>
    <cellStyle name="3_Du toan 558 (Km17+508.12 - Km 22)_KH TPCP vung TNB (03-1-2012)" xfId="1280"/>
    <cellStyle name="3_Gia_VLQL48_duyet " xfId="1281"/>
    <cellStyle name="3_Gia_VLQL48_duyet _!1 1 bao cao giao KH ve HTCMT vung TNB   12-12-2011" xfId="1282"/>
    <cellStyle name="3_Gia_VLQL48_duyet _Bieu4HTMT" xfId="1283"/>
    <cellStyle name="3_Gia_VLQL48_duyet _Bieu4HTMT_!1 1 bao cao giao KH ve HTCMT vung TNB   12-12-2011" xfId="1284"/>
    <cellStyle name="3_Gia_VLQL48_duyet _Bieu4HTMT_KH TPCP vung TNB (03-1-2012)" xfId="1285"/>
    <cellStyle name="3_Gia_VLQL48_duyet _KH TPCP vung TNB (03-1-2012)" xfId="1286"/>
    <cellStyle name="3_KlQdinhduyet" xfId="1287"/>
    <cellStyle name="3_KlQdinhduyet_!1 1 bao cao giao KH ve HTCMT vung TNB   12-12-2011" xfId="1288"/>
    <cellStyle name="3_KlQdinhduyet_Bieu4HTMT" xfId="1289"/>
    <cellStyle name="3_KlQdinhduyet_Bieu4HTMT_!1 1 bao cao giao KH ve HTCMT vung TNB   12-12-2011" xfId="1290"/>
    <cellStyle name="3_KlQdinhduyet_Bieu4HTMT_KH TPCP vung TNB (03-1-2012)" xfId="1291"/>
    <cellStyle name="3_KlQdinhduyet_KH TPCP vung TNB (03-1-2012)" xfId="1292"/>
    <cellStyle name="3_ÿÿÿÿÿ" xfId="1293"/>
    <cellStyle name="4" xfId="1294"/>
    <cellStyle name="4_Book1" xfId="1295"/>
    <cellStyle name="4_Book1_1" xfId="1296"/>
    <cellStyle name="4_Book1_1_!1 1 bao cao giao KH ve HTCMT vung TNB   12-12-2011" xfId="1297"/>
    <cellStyle name="4_Book1_1_Bieu4HTMT" xfId="1298"/>
    <cellStyle name="4_Book1_1_Bieu4HTMT_!1 1 bao cao giao KH ve HTCMT vung TNB   12-12-2011" xfId="1299"/>
    <cellStyle name="4_Book1_1_Bieu4HTMT_KH TPCP vung TNB (03-1-2012)" xfId="1300"/>
    <cellStyle name="4_Book1_1_KH TPCP vung TNB (03-1-2012)" xfId="1301"/>
    <cellStyle name="4_Cau thuy dien Ban La (Cu Anh)" xfId="1302"/>
    <cellStyle name="4_Cau thuy dien Ban La (Cu Anh)_!1 1 bao cao giao KH ve HTCMT vung TNB   12-12-2011" xfId="1303"/>
    <cellStyle name="4_Cau thuy dien Ban La (Cu Anh)_Bieu4HTMT" xfId="1304"/>
    <cellStyle name="4_Cau thuy dien Ban La (Cu Anh)_Bieu4HTMT_!1 1 bao cao giao KH ve HTCMT vung TNB   12-12-2011" xfId="1305"/>
    <cellStyle name="4_Cau thuy dien Ban La (Cu Anh)_Bieu4HTMT_KH TPCP vung TNB (03-1-2012)" xfId="1306"/>
    <cellStyle name="4_Cau thuy dien Ban La (Cu Anh)_KH TPCP vung TNB (03-1-2012)" xfId="1307"/>
    <cellStyle name="4_Du toan 558 (Km17+508.12 - Km 22)" xfId="1308"/>
    <cellStyle name="4_Du toan 558 (Km17+508.12 - Km 22)_!1 1 bao cao giao KH ve HTCMT vung TNB   12-12-2011" xfId="1309"/>
    <cellStyle name="4_Du toan 558 (Km17+508.12 - Km 22)_Bieu4HTMT" xfId="1310"/>
    <cellStyle name="4_Du toan 558 (Km17+508.12 - Km 22)_Bieu4HTMT_!1 1 bao cao giao KH ve HTCMT vung TNB   12-12-2011" xfId="1311"/>
    <cellStyle name="4_Du toan 558 (Km17+508.12 - Km 22)_Bieu4HTMT_KH TPCP vung TNB (03-1-2012)" xfId="1312"/>
    <cellStyle name="4_Du toan 558 (Km17+508.12 - Km 22)_KH TPCP vung TNB (03-1-2012)" xfId="1313"/>
    <cellStyle name="4_Gia_VLQL48_duyet " xfId="1314"/>
    <cellStyle name="4_Gia_VLQL48_duyet _!1 1 bao cao giao KH ve HTCMT vung TNB   12-12-2011" xfId="1315"/>
    <cellStyle name="4_Gia_VLQL48_duyet _Bieu4HTMT" xfId="1316"/>
    <cellStyle name="4_Gia_VLQL48_duyet _Bieu4HTMT_!1 1 bao cao giao KH ve HTCMT vung TNB   12-12-2011" xfId="1317"/>
    <cellStyle name="4_Gia_VLQL48_duyet _Bieu4HTMT_KH TPCP vung TNB (03-1-2012)" xfId="1318"/>
    <cellStyle name="4_Gia_VLQL48_duyet _KH TPCP vung TNB (03-1-2012)" xfId="1319"/>
    <cellStyle name="4_KlQdinhduyet" xfId="1320"/>
    <cellStyle name="4_KlQdinhduyet_!1 1 bao cao giao KH ve HTCMT vung TNB   12-12-2011" xfId="1321"/>
    <cellStyle name="4_KlQdinhduyet_Bieu4HTMT" xfId="1322"/>
    <cellStyle name="4_KlQdinhduyet_Bieu4HTMT_!1 1 bao cao giao KH ve HTCMT vung TNB   12-12-2011" xfId="1323"/>
    <cellStyle name="4_KlQdinhduyet_Bieu4HTMT_KH TPCP vung TNB (03-1-2012)" xfId="1324"/>
    <cellStyle name="4_KlQdinhduyet_KH TPCP vung TNB (03-1-2012)" xfId="1325"/>
    <cellStyle name="4_ÿÿÿÿÿ" xfId="1326"/>
    <cellStyle name="40% - Accent1 2" xfId="1327"/>
    <cellStyle name="40% - Accent2 2" xfId="1328"/>
    <cellStyle name="40% - Accent3 2" xfId="1329"/>
    <cellStyle name="40% - Accent4 2" xfId="1330"/>
    <cellStyle name="40% - Accent5 2" xfId="1331"/>
    <cellStyle name="40% - Accent6 2" xfId="1332"/>
    <cellStyle name="52" xfId="1333"/>
    <cellStyle name="6" xfId="1334"/>
    <cellStyle name="6_15_10_2013 BC nhu cau von doi ung ODA (2014-2016) ngay 15102013 Sua" xfId="1335"/>
    <cellStyle name="6_BC nhu cau von doi ung ODA nganh NN (BKH)" xfId="1336"/>
    <cellStyle name="6_BC nhu cau von doi ung ODA nganh NN (BKH)_05-12  KH trung han 2016-2020 - Liem Thinh edited" xfId="1337"/>
    <cellStyle name="6_BC nhu cau von doi ung ODA nganh NN (BKH)_Copy of 05-12  KH trung han 2016-2020 - Liem Thinh edited (1)" xfId="1338"/>
    <cellStyle name="6_BC Tai co cau (bieu TH)" xfId="1339"/>
    <cellStyle name="6_BC Tai co cau (bieu TH)_05-12  KH trung han 2016-2020 - Liem Thinh edited" xfId="1340"/>
    <cellStyle name="6_BC Tai co cau (bieu TH)_Copy of 05-12  KH trung han 2016-2020 - Liem Thinh edited (1)" xfId="1341"/>
    <cellStyle name="6_Cong trinh co y kien LD_Dang_NN_2011-Tay nguyen-9-10" xfId="1342"/>
    <cellStyle name="6_Cong trinh co y kien LD_Dang_NN_2011-Tay nguyen-9-10_!1 1 bao cao giao KH ve HTCMT vung TNB   12-12-2011" xfId="1343"/>
    <cellStyle name="6_Cong trinh co y kien LD_Dang_NN_2011-Tay nguyen-9-10_Bieu4HTMT" xfId="1344"/>
    <cellStyle name="6_Cong trinh co y kien LD_Dang_NN_2011-Tay nguyen-9-10_Bieu4HTMT_!1 1 bao cao giao KH ve HTCMT vung TNB   12-12-2011" xfId="1345"/>
    <cellStyle name="6_Cong trinh co y kien LD_Dang_NN_2011-Tay nguyen-9-10_Bieu4HTMT_KH TPCP vung TNB (03-1-2012)" xfId="1346"/>
    <cellStyle name="6_Cong trinh co y kien LD_Dang_NN_2011-Tay nguyen-9-10_KH TPCP vung TNB (03-1-2012)" xfId="1347"/>
    <cellStyle name="6_DK 2014-2015 final" xfId="1348"/>
    <cellStyle name="6_DK 2014-2015 final_05-12  KH trung han 2016-2020 - Liem Thinh edited" xfId="1349"/>
    <cellStyle name="6_DK 2014-2015 final_Copy of 05-12  KH trung han 2016-2020 - Liem Thinh edited (1)" xfId="1350"/>
    <cellStyle name="6_DK 2014-2015 new" xfId="1351"/>
    <cellStyle name="6_DK 2014-2015 new_05-12  KH trung han 2016-2020 - Liem Thinh edited" xfId="1352"/>
    <cellStyle name="6_DK 2014-2015 new_Copy of 05-12  KH trung han 2016-2020 - Liem Thinh edited (1)" xfId="1353"/>
    <cellStyle name="6_DK KH CBDT 2014 11-11-2013" xfId="1354"/>
    <cellStyle name="6_DK KH CBDT 2014 11-11-2013(1)" xfId="1355"/>
    <cellStyle name="6_DK KH CBDT 2014 11-11-2013(1)_05-12  KH trung han 2016-2020 - Liem Thinh edited" xfId="1356"/>
    <cellStyle name="6_DK KH CBDT 2014 11-11-2013(1)_Copy of 05-12  KH trung han 2016-2020 - Liem Thinh edited (1)" xfId="1357"/>
    <cellStyle name="6_DK KH CBDT 2014 11-11-2013_05-12  KH trung han 2016-2020 - Liem Thinh edited" xfId="1358"/>
    <cellStyle name="6_DK KH CBDT 2014 11-11-2013_Copy of 05-12  KH trung han 2016-2020 - Liem Thinh edited (1)" xfId="1359"/>
    <cellStyle name="6_KH 2011-2015" xfId="1360"/>
    <cellStyle name="6_tai co cau dau tu (tong hop)1" xfId="1361"/>
    <cellStyle name="6_TN - Ho tro khac 2011" xfId="1362"/>
    <cellStyle name="6_TN - Ho tro khac 2011_!1 1 bao cao giao KH ve HTCMT vung TNB   12-12-2011" xfId="1363"/>
    <cellStyle name="6_TN - Ho tro khac 2011_Bieu4HTMT" xfId="1364"/>
    <cellStyle name="6_TN - Ho tro khac 2011_Bieu4HTMT_!1 1 bao cao giao KH ve HTCMT vung TNB   12-12-2011" xfId="1365"/>
    <cellStyle name="6_TN - Ho tro khac 2011_Bieu4HTMT_KH TPCP vung TNB (03-1-2012)" xfId="1366"/>
    <cellStyle name="6_TN - Ho tro khac 2011_KH TPCP vung TNB (03-1-2012)" xfId="1367"/>
    <cellStyle name="60% - Accent1 2" xfId="1368"/>
    <cellStyle name="60% - Accent2 2" xfId="1369"/>
    <cellStyle name="60% - Accent3 2" xfId="1370"/>
    <cellStyle name="60% - Accent4 2" xfId="1371"/>
    <cellStyle name="60% - Accent5 2" xfId="1372"/>
    <cellStyle name="60% - Accent6 2" xfId="1373"/>
    <cellStyle name="9" xfId="1374"/>
    <cellStyle name="9_!1 1 bao cao giao KH ve HTCMT vung TNB   12-12-2011" xfId="1375"/>
    <cellStyle name="9_Bieu4HTMT" xfId="1376"/>
    <cellStyle name="9_Bieu4HTMT_!1 1 bao cao giao KH ve HTCMT vung TNB   12-12-2011" xfId="1377"/>
    <cellStyle name="9_Bieu4HTMT_KH TPCP vung TNB (03-1-2012)" xfId="1378"/>
    <cellStyle name="9_KH TPCP vung TNB (03-1-2012)" xfId="1379"/>
    <cellStyle name="Accent1 2" xfId="1380"/>
    <cellStyle name="Accent2 2" xfId="1381"/>
    <cellStyle name="Accent3 2" xfId="1382"/>
    <cellStyle name="Accent4 2" xfId="1383"/>
    <cellStyle name="Accent5 2" xfId="1384"/>
    <cellStyle name="Accent6 2" xfId="1385"/>
    <cellStyle name="ÅëÈ­ [0]_      " xfId="1386"/>
    <cellStyle name="AeE­ [0]_INQUIRY ¿?¾÷AßAø " xfId="1387"/>
    <cellStyle name="ÅëÈ­ [0]_L601CPT" xfId="1388"/>
    <cellStyle name="ÅëÈ­_      " xfId="1389"/>
    <cellStyle name="AeE­_INQUIRY ¿?¾÷AßAø " xfId="1390"/>
    <cellStyle name="ÅëÈ­_L601CPT" xfId="1391"/>
    <cellStyle name="args.style" xfId="1392"/>
    <cellStyle name="args.style 2" xfId="1393"/>
    <cellStyle name="at" xfId="1394"/>
    <cellStyle name="ÄÞ¸¶ [0]_      " xfId="1395"/>
    <cellStyle name="AÞ¸¶ [0]_INQUIRY ¿?¾÷AßAø " xfId="1396"/>
    <cellStyle name="ÄÞ¸¶ [0]_L601CPT" xfId="1397"/>
    <cellStyle name="ÄÞ¸¶_      " xfId="1398"/>
    <cellStyle name="AÞ¸¶_INQUIRY ¿?¾÷AßAø " xfId="1399"/>
    <cellStyle name="ÄÞ¸¶_L601CPT" xfId="1400"/>
    <cellStyle name="AutoFormat Options" xfId="1401"/>
    <cellStyle name="AutoFormat Options 2" xfId="1402"/>
    <cellStyle name="Bad 2" xfId="1403"/>
    <cellStyle name="Bad 2 2" xfId="4451"/>
    <cellStyle name="Bình thường 2" xfId="4452"/>
    <cellStyle name="Body" xfId="1404"/>
    <cellStyle name="C?AØ_¿?¾÷CoE² " xfId="1405"/>
    <cellStyle name="C~1" xfId="1406"/>
    <cellStyle name="Ç¥ÁØ_      " xfId="1407"/>
    <cellStyle name="C￥AØ_¿μ¾÷CoE² " xfId="1408"/>
    <cellStyle name="Ç¥ÁØ_±¸¹Ì´ëÃ¥" xfId="1409"/>
    <cellStyle name="C￥AØ_Sheet1_¿μ¾÷CoE² " xfId="1410"/>
    <cellStyle name="Ç¥ÁØ_ÿÿÿÿÿÿ_4_ÃÑÇÕ°è " xfId="1411"/>
    <cellStyle name="Calc Currency (0)" xfId="1412"/>
    <cellStyle name="Calc Currency (0) 2" xfId="1413"/>
    <cellStyle name="Calc Currency (0) 2 2" xfId="4453"/>
    <cellStyle name="Calc Currency (2)" xfId="1414"/>
    <cellStyle name="Calc Currency (2) 10" xfId="1415"/>
    <cellStyle name="Calc Currency (2) 11" xfId="1416"/>
    <cellStyle name="Calc Currency (2) 12" xfId="1417"/>
    <cellStyle name="Calc Currency (2) 13" xfId="1418"/>
    <cellStyle name="Calc Currency (2) 14" xfId="1419"/>
    <cellStyle name="Calc Currency (2) 15" xfId="1420"/>
    <cellStyle name="Calc Currency (2) 16" xfId="1421"/>
    <cellStyle name="Calc Currency (2) 2" xfId="1422"/>
    <cellStyle name="Calc Currency (2) 3" xfId="1423"/>
    <cellStyle name="Calc Currency (2) 4" xfId="1424"/>
    <cellStyle name="Calc Currency (2) 5" xfId="1425"/>
    <cellStyle name="Calc Currency (2) 6" xfId="1426"/>
    <cellStyle name="Calc Currency (2) 7" xfId="1427"/>
    <cellStyle name="Calc Currency (2) 8" xfId="1428"/>
    <cellStyle name="Calc Currency (2) 9" xfId="1429"/>
    <cellStyle name="Calc Percent (0)" xfId="1430"/>
    <cellStyle name="Calc Percent (0) 10" xfId="1431"/>
    <cellStyle name="Calc Percent (0) 11" xfId="1432"/>
    <cellStyle name="Calc Percent (0) 12" xfId="1433"/>
    <cellStyle name="Calc Percent (0) 13" xfId="1434"/>
    <cellStyle name="Calc Percent (0) 14" xfId="1435"/>
    <cellStyle name="Calc Percent (0) 15" xfId="1436"/>
    <cellStyle name="Calc Percent (0) 16" xfId="1437"/>
    <cellStyle name="Calc Percent (0) 2" xfId="1438"/>
    <cellStyle name="Calc Percent (0) 3" xfId="1439"/>
    <cellStyle name="Calc Percent (0) 4" xfId="1440"/>
    <cellStyle name="Calc Percent (0) 5" xfId="1441"/>
    <cellStyle name="Calc Percent (0) 6" xfId="1442"/>
    <cellStyle name="Calc Percent (0) 7" xfId="1443"/>
    <cellStyle name="Calc Percent (0) 8" xfId="1444"/>
    <cellStyle name="Calc Percent (0) 9" xfId="1445"/>
    <cellStyle name="Calc Percent (1)" xfId="1446"/>
    <cellStyle name="Calc Percent (1) 10" xfId="1447"/>
    <cellStyle name="Calc Percent (1) 11" xfId="1448"/>
    <cellStyle name="Calc Percent (1) 12" xfId="1449"/>
    <cellStyle name="Calc Percent (1) 13" xfId="1450"/>
    <cellStyle name="Calc Percent (1) 14" xfId="1451"/>
    <cellStyle name="Calc Percent (1) 15" xfId="1452"/>
    <cellStyle name="Calc Percent (1) 16" xfId="1453"/>
    <cellStyle name="Calc Percent (1) 2" xfId="1454"/>
    <cellStyle name="Calc Percent (1) 3" xfId="1455"/>
    <cellStyle name="Calc Percent (1) 4" xfId="1456"/>
    <cellStyle name="Calc Percent (1) 5" xfId="1457"/>
    <cellStyle name="Calc Percent (1) 6" xfId="1458"/>
    <cellStyle name="Calc Percent (1) 7" xfId="1459"/>
    <cellStyle name="Calc Percent (1) 8" xfId="1460"/>
    <cellStyle name="Calc Percent (1) 9" xfId="1461"/>
    <cellStyle name="Calc Percent (2)" xfId="1462"/>
    <cellStyle name="Calc Percent (2) 10" xfId="1463"/>
    <cellStyle name="Calc Percent (2) 11" xfId="1464"/>
    <cellStyle name="Calc Percent (2) 12" xfId="1465"/>
    <cellStyle name="Calc Percent (2) 13" xfId="1466"/>
    <cellStyle name="Calc Percent (2) 14" xfId="1467"/>
    <cellStyle name="Calc Percent (2) 15" xfId="1468"/>
    <cellStyle name="Calc Percent (2) 16" xfId="1469"/>
    <cellStyle name="Calc Percent (2) 2" xfId="1470"/>
    <cellStyle name="Calc Percent (2) 3" xfId="1471"/>
    <cellStyle name="Calc Percent (2) 4" xfId="1472"/>
    <cellStyle name="Calc Percent (2) 5" xfId="1473"/>
    <cellStyle name="Calc Percent (2) 6" xfId="1474"/>
    <cellStyle name="Calc Percent (2) 7" xfId="1475"/>
    <cellStyle name="Calc Percent (2) 8" xfId="1476"/>
    <cellStyle name="Calc Percent (2) 9" xfId="1477"/>
    <cellStyle name="Calc Units (0)" xfId="1478"/>
    <cellStyle name="Calc Units (0) 10" xfId="1479"/>
    <cellStyle name="Calc Units (0) 11" xfId="1480"/>
    <cellStyle name="Calc Units (0) 12" xfId="1481"/>
    <cellStyle name="Calc Units (0) 13" xfId="1482"/>
    <cellStyle name="Calc Units (0) 14" xfId="1483"/>
    <cellStyle name="Calc Units (0) 15" xfId="1484"/>
    <cellStyle name="Calc Units (0) 16" xfId="1485"/>
    <cellStyle name="Calc Units (0) 2" xfId="1486"/>
    <cellStyle name="Calc Units (0) 3" xfId="1487"/>
    <cellStyle name="Calc Units (0) 4" xfId="1488"/>
    <cellStyle name="Calc Units (0) 5" xfId="1489"/>
    <cellStyle name="Calc Units (0) 6" xfId="1490"/>
    <cellStyle name="Calc Units (0) 7" xfId="1491"/>
    <cellStyle name="Calc Units (0) 8" xfId="1492"/>
    <cellStyle name="Calc Units (0) 9" xfId="1493"/>
    <cellStyle name="Calc Units (1)" xfId="1494"/>
    <cellStyle name="Calc Units (1) 10" xfId="1495"/>
    <cellStyle name="Calc Units (1) 11" xfId="1496"/>
    <cellStyle name="Calc Units (1) 12" xfId="1497"/>
    <cellStyle name="Calc Units (1) 13" xfId="1498"/>
    <cellStyle name="Calc Units (1) 14" xfId="1499"/>
    <cellStyle name="Calc Units (1) 15" xfId="1500"/>
    <cellStyle name="Calc Units (1) 16" xfId="1501"/>
    <cellStyle name="Calc Units (1) 2" xfId="1502"/>
    <cellStyle name="Calc Units (1) 3" xfId="1503"/>
    <cellStyle name="Calc Units (1) 4" xfId="1504"/>
    <cellStyle name="Calc Units (1) 5" xfId="1505"/>
    <cellStyle name="Calc Units (1) 6" xfId="1506"/>
    <cellStyle name="Calc Units (1) 7" xfId="1507"/>
    <cellStyle name="Calc Units (1) 8" xfId="1508"/>
    <cellStyle name="Calc Units (1) 9" xfId="1509"/>
    <cellStyle name="Calc Units (2)" xfId="1510"/>
    <cellStyle name="Calc Units (2) 10" xfId="1511"/>
    <cellStyle name="Calc Units (2) 11" xfId="1512"/>
    <cellStyle name="Calc Units (2) 12" xfId="1513"/>
    <cellStyle name="Calc Units (2) 13" xfId="1514"/>
    <cellStyle name="Calc Units (2) 14" xfId="1515"/>
    <cellStyle name="Calc Units (2) 15" xfId="1516"/>
    <cellStyle name="Calc Units (2) 16" xfId="1517"/>
    <cellStyle name="Calc Units (2) 2" xfId="1518"/>
    <cellStyle name="Calc Units (2) 3" xfId="1519"/>
    <cellStyle name="Calc Units (2) 4" xfId="1520"/>
    <cellStyle name="Calc Units (2) 5" xfId="1521"/>
    <cellStyle name="Calc Units (2) 6" xfId="1522"/>
    <cellStyle name="Calc Units (2) 7" xfId="1523"/>
    <cellStyle name="Calc Units (2) 8" xfId="1524"/>
    <cellStyle name="Calc Units (2) 9" xfId="1525"/>
    <cellStyle name="Calculation 2" xfId="1526"/>
    <cellStyle name="category" xfId="1527"/>
    <cellStyle name="category 2" xfId="1528"/>
    <cellStyle name="Centered Heading" xfId="1529"/>
    <cellStyle name="Cerrency_Sheet2_XANGDAU" xfId="1530"/>
    <cellStyle name="Column_Title" xfId="1531"/>
    <cellStyle name="Comma" xfId="4260" builtinId="3"/>
    <cellStyle name="Comma  - Style1" xfId="1532"/>
    <cellStyle name="Comma  - Style2" xfId="1533"/>
    <cellStyle name="Comma  - Style3" xfId="1534"/>
    <cellStyle name="Comma  - Style4" xfId="1535"/>
    <cellStyle name="Comma  - Style5" xfId="1536"/>
    <cellStyle name="Comma  - Style6" xfId="1537"/>
    <cellStyle name="Comma  - Style7" xfId="1538"/>
    <cellStyle name="Comma  - Style8" xfId="1539"/>
    <cellStyle name="Comma %" xfId="1540"/>
    <cellStyle name="Comma % 10" xfId="1541"/>
    <cellStyle name="Comma % 11" xfId="1542"/>
    <cellStyle name="Comma % 12" xfId="1543"/>
    <cellStyle name="Comma % 13" xfId="1544"/>
    <cellStyle name="Comma % 14" xfId="1545"/>
    <cellStyle name="Comma % 15" xfId="1546"/>
    <cellStyle name="Comma % 2" xfId="1547"/>
    <cellStyle name="Comma % 3" xfId="1548"/>
    <cellStyle name="Comma % 4" xfId="1549"/>
    <cellStyle name="Comma % 5" xfId="1550"/>
    <cellStyle name="Comma % 6" xfId="1551"/>
    <cellStyle name="Comma % 7" xfId="1552"/>
    <cellStyle name="Comma % 8" xfId="1553"/>
    <cellStyle name="Comma % 9" xfId="1554"/>
    <cellStyle name="Comma [0] 10" xfId="1555"/>
    <cellStyle name="Comma [0] 11" xfId="1556"/>
    <cellStyle name="Comma [0] 2" xfId="1557"/>
    <cellStyle name="Comma [0] 2 10" xfId="1558"/>
    <cellStyle name="Comma [0] 2 10 2" xfId="4456"/>
    <cellStyle name="Comma [0] 2 10 3" xfId="4455"/>
    <cellStyle name="Comma [0] 2 11" xfId="1559"/>
    <cellStyle name="Comma [0] 2 11 2" xfId="4458"/>
    <cellStyle name="Comma [0] 2 11 3" xfId="4457"/>
    <cellStyle name="Comma [0] 2 12" xfId="1560"/>
    <cellStyle name="Comma [0] 2 12 2" xfId="4460"/>
    <cellStyle name="Comma [0] 2 12 3" xfId="4459"/>
    <cellStyle name="Comma [0] 2 13" xfId="1561"/>
    <cellStyle name="Comma [0] 2 13 2" xfId="4462"/>
    <cellStyle name="Comma [0] 2 13 3" xfId="4461"/>
    <cellStyle name="Comma [0] 2 14" xfId="1562"/>
    <cellStyle name="Comma [0] 2 14 2" xfId="4464"/>
    <cellStyle name="Comma [0] 2 14 3" xfId="4463"/>
    <cellStyle name="Comma [0] 2 15" xfId="1563"/>
    <cellStyle name="Comma [0] 2 15 2" xfId="4466"/>
    <cellStyle name="Comma [0] 2 15 3" xfId="4465"/>
    <cellStyle name="Comma [0] 2 16" xfId="1564"/>
    <cellStyle name="Comma [0] 2 16 2" xfId="4468"/>
    <cellStyle name="Comma [0] 2 16 3" xfId="4467"/>
    <cellStyle name="Comma [0] 2 17" xfId="1565"/>
    <cellStyle name="Comma [0] 2 17 2" xfId="4470"/>
    <cellStyle name="Comma [0] 2 17 3" xfId="4469"/>
    <cellStyle name="Comma [0] 2 18" xfId="1566"/>
    <cellStyle name="Comma [0] 2 18 2" xfId="4472"/>
    <cellStyle name="Comma [0] 2 18 3" xfId="4471"/>
    <cellStyle name="Comma [0] 2 19" xfId="1567"/>
    <cellStyle name="Comma [0] 2 19 2" xfId="4474"/>
    <cellStyle name="Comma [0] 2 19 3" xfId="4473"/>
    <cellStyle name="Comma [0] 2 2" xfId="1568"/>
    <cellStyle name="Comma [0] 2 2 2" xfId="1569"/>
    <cellStyle name="Comma [0] 2 2 2 2" xfId="4476"/>
    <cellStyle name="Comma [0] 2 2 3" xfId="4475"/>
    <cellStyle name="Comma [0] 2 20" xfId="1570"/>
    <cellStyle name="Comma [0] 2 20 2" xfId="4478"/>
    <cellStyle name="Comma [0] 2 20 3" xfId="4477"/>
    <cellStyle name="Comma [0] 2 21" xfId="1571"/>
    <cellStyle name="Comma [0] 2 21 2" xfId="4480"/>
    <cellStyle name="Comma [0] 2 21 3" xfId="4479"/>
    <cellStyle name="Comma [0] 2 22" xfId="1572"/>
    <cellStyle name="Comma [0] 2 22 2" xfId="4482"/>
    <cellStyle name="Comma [0] 2 22 3" xfId="4481"/>
    <cellStyle name="Comma [0] 2 23" xfId="1573"/>
    <cellStyle name="Comma [0] 2 23 2" xfId="4484"/>
    <cellStyle name="Comma [0] 2 23 3" xfId="4483"/>
    <cellStyle name="Comma [0] 2 24" xfId="1574"/>
    <cellStyle name="Comma [0] 2 25" xfId="1575"/>
    <cellStyle name="Comma [0] 2 26" xfId="1576"/>
    <cellStyle name="Comma [0] 2 3" xfId="1577"/>
    <cellStyle name="Comma [0] 2 3 2" xfId="4486"/>
    <cellStyle name="Comma [0] 2 3 3" xfId="4485"/>
    <cellStyle name="Comma [0] 2 4" xfId="1578"/>
    <cellStyle name="Comma [0] 2 4 2" xfId="4488"/>
    <cellStyle name="Comma [0] 2 4 3" xfId="4487"/>
    <cellStyle name="Comma [0] 2 5" xfId="1579"/>
    <cellStyle name="Comma [0] 2 5 2" xfId="4490"/>
    <cellStyle name="Comma [0] 2 5 3" xfId="4489"/>
    <cellStyle name="Comma [0] 2 6" xfId="1580"/>
    <cellStyle name="Comma [0] 2 6 2" xfId="4492"/>
    <cellStyle name="Comma [0] 2 6 3" xfId="4491"/>
    <cellStyle name="Comma [0] 2 7" xfId="1581"/>
    <cellStyle name="Comma [0] 2 7 2" xfId="4494"/>
    <cellStyle name="Comma [0] 2 7 3" xfId="4493"/>
    <cellStyle name="Comma [0] 2 8" xfId="1582"/>
    <cellStyle name="Comma [0] 2 8 2" xfId="4496"/>
    <cellStyle name="Comma [0] 2 8 3" xfId="4495"/>
    <cellStyle name="Comma [0] 2 9" xfId="1583"/>
    <cellStyle name="Comma [0] 2 9 2" xfId="4498"/>
    <cellStyle name="Comma [0] 2 9 3" xfId="4497"/>
    <cellStyle name="Comma [0] 2_05-12  KH trung han 2016-2020 - Liem Thinh edited" xfId="1584"/>
    <cellStyle name="Comma [0] 3" xfId="1585"/>
    <cellStyle name="Comma [0] 3 2" xfId="1586"/>
    <cellStyle name="Comma [0] 3 2 2" xfId="4499"/>
    <cellStyle name="Comma [0] 3 3" xfId="1587"/>
    <cellStyle name="Comma [0] 4" xfId="1588"/>
    <cellStyle name="Comma [0] 4 2" xfId="4500"/>
    <cellStyle name="Comma [0] 5" xfId="1589"/>
    <cellStyle name="Comma [0] 5 2" xfId="4501"/>
    <cellStyle name="Comma [0] 6" xfId="1590"/>
    <cellStyle name="Comma [0] 6 2" xfId="4502"/>
    <cellStyle name="Comma [0] 7" xfId="1591"/>
    <cellStyle name="Comma [0] 8" xfId="1592"/>
    <cellStyle name="Comma [0] 9" xfId="1593"/>
    <cellStyle name="Comma [00]" xfId="1594"/>
    <cellStyle name="Comma [00] 10" xfId="1595"/>
    <cellStyle name="Comma [00] 11" xfId="1596"/>
    <cellStyle name="Comma [00] 12" xfId="1597"/>
    <cellStyle name="Comma [00] 13" xfId="1598"/>
    <cellStyle name="Comma [00] 14" xfId="1599"/>
    <cellStyle name="Comma [00] 15" xfId="1600"/>
    <cellStyle name="Comma [00] 16" xfId="1601"/>
    <cellStyle name="Comma [00] 2" xfId="1602"/>
    <cellStyle name="Comma [00] 3" xfId="1603"/>
    <cellStyle name="Comma [00] 4" xfId="1604"/>
    <cellStyle name="Comma [00] 5" xfId="1605"/>
    <cellStyle name="Comma [00] 6" xfId="1606"/>
    <cellStyle name="Comma [00] 7" xfId="1607"/>
    <cellStyle name="Comma [00] 8" xfId="1608"/>
    <cellStyle name="Comma [00] 9" xfId="1609"/>
    <cellStyle name="Comma 0.0" xfId="1610"/>
    <cellStyle name="Comma 0.0%" xfId="1611"/>
    <cellStyle name="Comma 0.00" xfId="1612"/>
    <cellStyle name="Comma 0.00%" xfId="1613"/>
    <cellStyle name="Comma 0.000" xfId="1614"/>
    <cellStyle name="Comma 0.000%" xfId="1615"/>
    <cellStyle name="Comma 10" xfId="1616"/>
    <cellStyle name="Comma 10 10" xfId="1617"/>
    <cellStyle name="Comma 10 10 2" xfId="4264"/>
    <cellStyle name="Comma 10 10 2 2" xfId="4504"/>
    <cellStyle name="Comma 10 10 3" xfId="4503"/>
    <cellStyle name="Comma 10 2" xfId="1618"/>
    <cellStyle name="Comma 10 2 2" xfId="1619"/>
    <cellStyle name="Comma 10 2 2 2" xfId="4506"/>
    <cellStyle name="Comma 10 2 3" xfId="4507"/>
    <cellStyle name="Comma 10 2 4" xfId="4505"/>
    <cellStyle name="Comma 10 3" xfId="1620"/>
    <cellStyle name="Comma 10 3 2" xfId="1621"/>
    <cellStyle name="Comma 10 3 2 2" xfId="4509"/>
    <cellStyle name="Comma 10 3 3" xfId="4508"/>
    <cellStyle name="Comma 10 3 3 2" xfId="1622"/>
    <cellStyle name="Comma 10 4" xfId="4510"/>
    <cellStyle name="Comma 11" xfId="1623"/>
    <cellStyle name="Comma 11 2" xfId="1624"/>
    <cellStyle name="Comma 11 2 2" xfId="4512"/>
    <cellStyle name="Comma 11 3" xfId="1625"/>
    <cellStyle name="Comma 11 3 2" xfId="1626"/>
    <cellStyle name="Comma 11 3 3" xfId="1627"/>
    <cellStyle name="Comma 11 4" xfId="4511"/>
    <cellStyle name="Comma 12" xfId="1628"/>
    <cellStyle name="Comma 12 2" xfId="1629"/>
    <cellStyle name="Comma 12 2 2" xfId="4514"/>
    <cellStyle name="Comma 12 3" xfId="1630"/>
    <cellStyle name="Comma 12 4" xfId="4513"/>
    <cellStyle name="Comma 13" xfId="1631"/>
    <cellStyle name="Comma 13 2" xfId="1632"/>
    <cellStyle name="Comma 13 2 2" xfId="1633"/>
    <cellStyle name="Comma 13 2 2 2" xfId="1634"/>
    <cellStyle name="Comma 13 2 2 2 2" xfId="1635"/>
    <cellStyle name="Comma 13 2 2 2 2 2" xfId="4519"/>
    <cellStyle name="Comma 13 2 2 2 3" xfId="1636"/>
    <cellStyle name="Comma 13 2 2 2 4" xfId="4518"/>
    <cellStyle name="Comma 13 2 2 3" xfId="1637"/>
    <cellStyle name="Comma 13 2 2 3 2" xfId="4521"/>
    <cellStyle name="Comma 13 2 2 3 3" xfId="4520"/>
    <cellStyle name="Comma 13 2 2 4" xfId="1638"/>
    <cellStyle name="Comma 13 2 2 4 2" xfId="4522"/>
    <cellStyle name="Comma 13 2 2 5" xfId="1639"/>
    <cellStyle name="Comma 13 2 2 6" xfId="4517"/>
    <cellStyle name="Comma 13 2 3" xfId="1640"/>
    <cellStyle name="Comma 13 2 3 2" xfId="1641"/>
    <cellStyle name="Comma 13 2 3 2 2" xfId="4525"/>
    <cellStyle name="Comma 13 2 3 2 3" xfId="4524"/>
    <cellStyle name="Comma 13 2 3 3" xfId="4526"/>
    <cellStyle name="Comma 13 2 3 4" xfId="4523"/>
    <cellStyle name="Comma 13 2 4" xfId="1642"/>
    <cellStyle name="Comma 13 2 4 2" xfId="4528"/>
    <cellStyle name="Comma 13 2 4 3" xfId="4527"/>
    <cellStyle name="Comma 13 2 5" xfId="1643"/>
    <cellStyle name="Comma 13 2 5 2" xfId="4529"/>
    <cellStyle name="Comma 13 2 6" xfId="4516"/>
    <cellStyle name="Comma 13 3" xfId="1644"/>
    <cellStyle name="Comma 13 3 2" xfId="4530"/>
    <cellStyle name="Comma 13 4" xfId="1645"/>
    <cellStyle name="Comma 13 5" xfId="4515"/>
    <cellStyle name="Comma 14" xfId="1646"/>
    <cellStyle name="Comma 14 2" xfId="1647"/>
    <cellStyle name="Comma 14 2 2" xfId="1648"/>
    <cellStyle name="Comma 14 2 3" xfId="4532"/>
    <cellStyle name="Comma 14 3" xfId="1649"/>
    <cellStyle name="Comma 14 4" xfId="4531"/>
    <cellStyle name="Comma 15" xfId="1650"/>
    <cellStyle name="Comma 15 2" xfId="1651"/>
    <cellStyle name="Comma 15 2 2" xfId="4534"/>
    <cellStyle name="Comma 15 3" xfId="1652"/>
    <cellStyle name="Comma 15 4" xfId="4533"/>
    <cellStyle name="Comma 16" xfId="1653"/>
    <cellStyle name="Comma 16 2" xfId="1654"/>
    <cellStyle name="Comma 16 2 2" xfId="4537"/>
    <cellStyle name="Comma 16 2 3" xfId="4536"/>
    <cellStyle name="Comma 16 3" xfId="1655"/>
    <cellStyle name="Comma 16 3 2" xfId="1656"/>
    <cellStyle name="Comma 16 3 2 2" xfId="1657"/>
    <cellStyle name="Comma 16 3 3" xfId="1658"/>
    <cellStyle name="Comma 16 3 3 2" xfId="1659"/>
    <cellStyle name="Comma 16 3 4" xfId="1660"/>
    <cellStyle name="Comma 16 3 5" xfId="4538"/>
    <cellStyle name="Comma 16 4" xfId="4535"/>
    <cellStyle name="Comma 17" xfId="1661"/>
    <cellStyle name="Comma 17 2" xfId="1662"/>
    <cellStyle name="Comma 17 2 2" xfId="4539"/>
    <cellStyle name="Comma 17 3" xfId="1663"/>
    <cellStyle name="Comma 17 4" xfId="1664"/>
    <cellStyle name="Comma 18" xfId="1665"/>
    <cellStyle name="Comma 18 2" xfId="1666"/>
    <cellStyle name="Comma 18 2 2" xfId="4541"/>
    <cellStyle name="Comma 18 3" xfId="1667"/>
    <cellStyle name="Comma 18 4" xfId="4540"/>
    <cellStyle name="Comma 19" xfId="1668"/>
    <cellStyle name="Comma 19 2" xfId="1669"/>
    <cellStyle name="Comma 19 3" xfId="4542"/>
    <cellStyle name="Comma 2" xfId="5"/>
    <cellStyle name="Comma 2 10" xfId="1670"/>
    <cellStyle name="Comma 2 10 2" xfId="4545"/>
    <cellStyle name="Comma 2 10 3" xfId="4544"/>
    <cellStyle name="Comma 2 11" xfId="1671"/>
    <cellStyle name="Comma 2 11 2" xfId="4547"/>
    <cellStyle name="Comma 2 11 3" xfId="4546"/>
    <cellStyle name="Comma 2 12" xfId="1672"/>
    <cellStyle name="Comma 2 12 2" xfId="4549"/>
    <cellStyle name="Comma 2 12 3" xfId="4548"/>
    <cellStyle name="Comma 2 13" xfId="1673"/>
    <cellStyle name="Comma 2 13 2" xfId="4551"/>
    <cellStyle name="Comma 2 13 3" xfId="4550"/>
    <cellStyle name="Comma 2 14" xfId="1674"/>
    <cellStyle name="Comma 2 14 2" xfId="4553"/>
    <cellStyle name="Comma 2 14 3" xfId="4552"/>
    <cellStyle name="Comma 2 15" xfId="1675"/>
    <cellStyle name="Comma 2 15 2" xfId="4555"/>
    <cellStyle name="Comma 2 15 3" xfId="4554"/>
    <cellStyle name="Comma 2 16" xfId="1676"/>
    <cellStyle name="Comma 2 16 2" xfId="4557"/>
    <cellStyle name="Comma 2 16 3" xfId="4556"/>
    <cellStyle name="Comma 2 17" xfId="1677"/>
    <cellStyle name="Comma 2 17 2" xfId="4559"/>
    <cellStyle name="Comma 2 17 3" xfId="4558"/>
    <cellStyle name="Comma 2 18" xfId="1678"/>
    <cellStyle name="Comma 2 18 2" xfId="4561"/>
    <cellStyle name="Comma 2 18 3" xfId="4560"/>
    <cellStyle name="Comma 2 19" xfId="1679"/>
    <cellStyle name="Comma 2 19 2" xfId="4563"/>
    <cellStyle name="Comma 2 19 3" xfId="4562"/>
    <cellStyle name="Comma 2 2" xfId="1680"/>
    <cellStyle name="Comma 2 2 10" xfId="1681"/>
    <cellStyle name="Comma 2 2 11" xfId="1682"/>
    <cellStyle name="Comma 2 2 12" xfId="1683"/>
    <cellStyle name="Comma 2 2 13" xfId="1684"/>
    <cellStyle name="Comma 2 2 14" xfId="1685"/>
    <cellStyle name="Comma 2 2 15" xfId="1686"/>
    <cellStyle name="Comma 2 2 16" xfId="1687"/>
    <cellStyle name="Comma 2 2 17" xfId="1688"/>
    <cellStyle name="Comma 2 2 18" xfId="1689"/>
    <cellStyle name="Comma 2 2 19" xfId="1690"/>
    <cellStyle name="Comma 2 2 2" xfId="1691"/>
    <cellStyle name="Comma 2 2 2 10" xfId="1692"/>
    <cellStyle name="Comma 2 2 2 10 2" xfId="4565"/>
    <cellStyle name="Comma 2 2 2 11" xfId="1693"/>
    <cellStyle name="Comma 2 2 2 11 2" xfId="4566"/>
    <cellStyle name="Comma 2 2 2 12" xfId="1694"/>
    <cellStyle name="Comma 2 2 2 12 2" xfId="4567"/>
    <cellStyle name="Comma 2 2 2 13" xfId="1695"/>
    <cellStyle name="Comma 2 2 2 13 2" xfId="4568"/>
    <cellStyle name="Comma 2 2 2 14" xfId="1696"/>
    <cellStyle name="Comma 2 2 2 14 2" xfId="4569"/>
    <cellStyle name="Comma 2 2 2 15" xfId="1697"/>
    <cellStyle name="Comma 2 2 2 15 2" xfId="4570"/>
    <cellStyle name="Comma 2 2 2 16" xfId="1698"/>
    <cellStyle name="Comma 2 2 2 16 2" xfId="4571"/>
    <cellStyle name="Comma 2 2 2 17" xfId="1699"/>
    <cellStyle name="Comma 2 2 2 17 2" xfId="4572"/>
    <cellStyle name="Comma 2 2 2 18" xfId="1700"/>
    <cellStyle name="Comma 2 2 2 18 2" xfId="4573"/>
    <cellStyle name="Comma 2 2 2 19" xfId="1701"/>
    <cellStyle name="Comma 2 2 2 19 2" xfId="4574"/>
    <cellStyle name="Comma 2 2 2 2" xfId="1702"/>
    <cellStyle name="Comma 2 2 2 2 2" xfId="1703"/>
    <cellStyle name="Comma 2 2 2 2 3" xfId="4575"/>
    <cellStyle name="Comma 2 2 2 20" xfId="1704"/>
    <cellStyle name="Comma 2 2 2 20 2" xfId="4576"/>
    <cellStyle name="Comma 2 2 2 21" xfId="1705"/>
    <cellStyle name="Comma 2 2 2 21 2" xfId="4577"/>
    <cellStyle name="Comma 2 2 2 22" xfId="1706"/>
    <cellStyle name="Comma 2 2 2 22 2" xfId="4578"/>
    <cellStyle name="Comma 2 2 2 23" xfId="1707"/>
    <cellStyle name="Comma 2 2 2 23 2" xfId="4579"/>
    <cellStyle name="Comma 2 2 2 24" xfId="1708"/>
    <cellStyle name="Comma 2 2 2 24 2" xfId="4580"/>
    <cellStyle name="Comma 2 2 2 25" xfId="4564"/>
    <cellStyle name="Comma 2 2 2 3" xfId="1709"/>
    <cellStyle name="Comma 2 2 2 3 2" xfId="4581"/>
    <cellStyle name="Comma 2 2 2 4" xfId="1710"/>
    <cellStyle name="Comma 2 2 2 4 2" xfId="4582"/>
    <cellStyle name="Comma 2 2 2 5" xfId="1711"/>
    <cellStyle name="Comma 2 2 2 5 2" xfId="4583"/>
    <cellStyle name="Comma 2 2 2 6" xfId="1712"/>
    <cellStyle name="Comma 2 2 2 6 2" xfId="4584"/>
    <cellStyle name="Comma 2 2 2 7" xfId="1713"/>
    <cellStyle name="Comma 2 2 2 7 2" xfId="4585"/>
    <cellStyle name="Comma 2 2 2 8" xfId="1714"/>
    <cellStyle name="Comma 2 2 2 8 2" xfId="4586"/>
    <cellStyle name="Comma 2 2 2 9" xfId="1715"/>
    <cellStyle name="Comma 2 2 2 9 2" xfId="4587"/>
    <cellStyle name="Comma 2 2 20" xfId="1716"/>
    <cellStyle name="Comma 2 2 21" xfId="1717"/>
    <cellStyle name="Comma 2 2 22" xfId="1718"/>
    <cellStyle name="Comma 2 2 23" xfId="1719"/>
    <cellStyle name="Comma 2 2 24" xfId="1720"/>
    <cellStyle name="Comma 2 2 24 2" xfId="1721"/>
    <cellStyle name="Comma 2 2 24 3" xfId="4588"/>
    <cellStyle name="Comma 2 2 25" xfId="1722"/>
    <cellStyle name="Comma 2 2 25 2" xfId="4589"/>
    <cellStyle name="Comma 2 2 26" xfId="4590"/>
    <cellStyle name="Comma 2 2 3" xfId="1723"/>
    <cellStyle name="Comma 2 2 3 2" xfId="1724"/>
    <cellStyle name="Comma 2 2 4" xfId="1725"/>
    <cellStyle name="Comma 2 2 5" xfId="1726"/>
    <cellStyle name="Comma 2 2 6" xfId="1727"/>
    <cellStyle name="Comma 2 2 7" xfId="1728"/>
    <cellStyle name="Comma 2 2 8" xfId="1729"/>
    <cellStyle name="Comma 2 2 9" xfId="1730"/>
    <cellStyle name="Comma 2 2_05-12  KH trung han 2016-2020 - Liem Thinh edited" xfId="1731"/>
    <cellStyle name="Comma 2 20" xfId="1732"/>
    <cellStyle name="Comma 2 20 2" xfId="4592"/>
    <cellStyle name="Comma 2 20 3" xfId="4591"/>
    <cellStyle name="Comma 2 21" xfId="1733"/>
    <cellStyle name="Comma 2 21 2" xfId="4594"/>
    <cellStyle name="Comma 2 21 3" xfId="4593"/>
    <cellStyle name="Comma 2 22" xfId="1734"/>
    <cellStyle name="Comma 2 22 2" xfId="4596"/>
    <cellStyle name="Comma 2 22 3" xfId="4595"/>
    <cellStyle name="Comma 2 23" xfId="1735"/>
    <cellStyle name="Comma 2 23 2" xfId="4598"/>
    <cellStyle name="Comma 2 23 3" xfId="4597"/>
    <cellStyle name="Comma 2 24" xfId="1736"/>
    <cellStyle name="Comma 2 24 2" xfId="4600"/>
    <cellStyle name="Comma 2 24 3" xfId="4599"/>
    <cellStyle name="Comma 2 25" xfId="1737"/>
    <cellStyle name="Comma 2 25 2" xfId="4602"/>
    <cellStyle name="Comma 2 25 3" xfId="4601"/>
    <cellStyle name="Comma 2 26" xfId="1738"/>
    <cellStyle name="Comma 2 26 2" xfId="1739"/>
    <cellStyle name="Comma 2 26 3" xfId="4603"/>
    <cellStyle name="Comma 2 27" xfId="1740"/>
    <cellStyle name="Comma 2 27 2" xfId="4604"/>
    <cellStyle name="Comma 2 28" xfId="4269"/>
    <cellStyle name="Comma 2 28 2" xfId="4605"/>
    <cellStyle name="Comma 2 29" xfId="4543"/>
    <cellStyle name="Comma 2 3" xfId="1741"/>
    <cellStyle name="Comma 2 3 2" xfId="1742"/>
    <cellStyle name="Comma 2 3 2 2" xfId="1743"/>
    <cellStyle name="Comma 2 3 2 2 2" xfId="4607"/>
    <cellStyle name="Comma 2 3 2 3" xfId="1744"/>
    <cellStyle name="Comma 2 3 2 4" xfId="4606"/>
    <cellStyle name="Comma 2 3 3" xfId="1745"/>
    <cellStyle name="Comma 2 4" xfId="1746"/>
    <cellStyle name="Comma 2 4 2" xfId="1747"/>
    <cellStyle name="Comma 2 4 2 2" xfId="4609"/>
    <cellStyle name="Comma 2 4 3" xfId="4608"/>
    <cellStyle name="Comma 2 48" xfId="4610"/>
    <cellStyle name="Comma 2 48 2" xfId="4611"/>
    <cellStyle name="Comma 2 5" xfId="1748"/>
    <cellStyle name="Comma 2 5 2" xfId="1749"/>
    <cellStyle name="Comma 2 5 2 2" xfId="4613"/>
    <cellStyle name="Comma 2 5 3" xfId="1750"/>
    <cellStyle name="Comma 2 5 4" xfId="4612"/>
    <cellStyle name="Comma 2 6" xfId="1751"/>
    <cellStyle name="Comma 2 6 2" xfId="4614"/>
    <cellStyle name="Comma 2 7" xfId="1752"/>
    <cellStyle name="Comma 2 7 2" xfId="4616"/>
    <cellStyle name="Comma 2 7 3" xfId="4615"/>
    <cellStyle name="Comma 2 8" xfId="1753"/>
    <cellStyle name="Comma 2 8 2" xfId="4618"/>
    <cellStyle name="Comma 2 8 3" xfId="4617"/>
    <cellStyle name="Comma 2 9" xfId="1754"/>
    <cellStyle name="Comma 2 9 2" xfId="4620"/>
    <cellStyle name="Comma 2 9 3" xfId="4619"/>
    <cellStyle name="Comma 2_05-12  KH trung han 2016-2020 - Liem Thinh edited" xfId="1755"/>
    <cellStyle name="Comma 20" xfId="1756"/>
    <cellStyle name="Comma 20 2" xfId="1757"/>
    <cellStyle name="Comma 20 3" xfId="1758"/>
    <cellStyle name="Comma 21" xfId="1759"/>
    <cellStyle name="Comma 21 2" xfId="1760"/>
    <cellStyle name="Comma 21 3" xfId="1761"/>
    <cellStyle name="Comma 22" xfId="1762"/>
    <cellStyle name="Comma 22 2" xfId="1763"/>
    <cellStyle name="Comma 22 3" xfId="1764"/>
    <cellStyle name="Comma 23" xfId="1765"/>
    <cellStyle name="Comma 23 2" xfId="1766"/>
    <cellStyle name="Comma 23 3" xfId="1767"/>
    <cellStyle name="Comma 24" xfId="1768"/>
    <cellStyle name="Comma 24 2" xfId="1769"/>
    <cellStyle name="Comma 24 3" xfId="4621"/>
    <cellStyle name="Comma 25" xfId="1770"/>
    <cellStyle name="Comma 25 2" xfId="1771"/>
    <cellStyle name="Comma 25 3" xfId="4622"/>
    <cellStyle name="Comma 26" xfId="1772"/>
    <cellStyle name="Comma 26 2" xfId="1773"/>
    <cellStyle name="Comma 26 2 2" xfId="4624"/>
    <cellStyle name="Comma 26 3" xfId="4623"/>
    <cellStyle name="Comma 27" xfId="1774"/>
    <cellStyle name="Comma 27 2" xfId="1775"/>
    <cellStyle name="Comma 27 2 2" xfId="4626"/>
    <cellStyle name="Comma 27 3" xfId="4625"/>
    <cellStyle name="Comma 28" xfId="1776"/>
    <cellStyle name="Comma 28 2" xfId="1777"/>
    <cellStyle name="Comma 28 2 2" xfId="4628"/>
    <cellStyle name="Comma 28 3" xfId="4629"/>
    <cellStyle name="Comma 28 4" xfId="4630"/>
    <cellStyle name="Comma 28 5" xfId="4627"/>
    <cellStyle name="Comma 29" xfId="1778"/>
    <cellStyle name="Comma 29 2" xfId="1779"/>
    <cellStyle name="Comma 29 2 2" xfId="4632"/>
    <cellStyle name="Comma 29 3" xfId="4631"/>
    <cellStyle name="Comma 3" xfId="6"/>
    <cellStyle name="Comma 3 2" xfId="1780"/>
    <cellStyle name="Comma 3 2 10" xfId="1781"/>
    <cellStyle name="Comma 3 2 11" xfId="1782"/>
    <cellStyle name="Comma 3 2 12" xfId="1783"/>
    <cellStyle name="Comma 3 2 13" xfId="1784"/>
    <cellStyle name="Comma 3 2 14" xfId="1785"/>
    <cellStyle name="Comma 3 2 15" xfId="1786"/>
    <cellStyle name="Comma 3 2 16" xfId="4634"/>
    <cellStyle name="Comma 3 2 2" xfId="1787"/>
    <cellStyle name="Comma 3 2 2 2" xfId="1788"/>
    <cellStyle name="Comma 3 2 2 3" xfId="1789"/>
    <cellStyle name="Comma 3 2 3" xfId="1790"/>
    <cellStyle name="Comma 3 2 3 2" xfId="1791"/>
    <cellStyle name="Comma 3 2 3 3" xfId="1792"/>
    <cellStyle name="Comma 3 2 4" xfId="1793"/>
    <cellStyle name="Comma 3 2 4 2" xfId="4635"/>
    <cellStyle name="Comma 3 2 5" xfId="1794"/>
    <cellStyle name="Comma 3 2 5 2" xfId="4636"/>
    <cellStyle name="Comma 3 2 6" xfId="1795"/>
    <cellStyle name="Comma 3 2 7" xfId="1796"/>
    <cellStyle name="Comma 3 2 8" xfId="1797"/>
    <cellStyle name="Comma 3 2 9" xfId="1798"/>
    <cellStyle name="Comma 3 3" xfId="1799"/>
    <cellStyle name="Comma 3 3 2" xfId="1800"/>
    <cellStyle name="Comma 3 3 2 2" xfId="4638"/>
    <cellStyle name="Comma 3 3 3" xfId="1801"/>
    <cellStyle name="Comma 3 3 3 2" xfId="4639"/>
    <cellStyle name="Comma 3 3 4" xfId="4640"/>
    <cellStyle name="Comma 3 3 5" xfId="4637"/>
    <cellStyle name="Comma 3 4" xfId="1802"/>
    <cellStyle name="Comma 3 4 2" xfId="1803"/>
    <cellStyle name="Comma 3 4 3" xfId="1804"/>
    <cellStyle name="Comma 3 4 4" xfId="4641"/>
    <cellStyle name="Comma 3 5" xfId="1805"/>
    <cellStyle name="Comma 3 5 2" xfId="1806"/>
    <cellStyle name="Comma 3 5 3" xfId="4642"/>
    <cellStyle name="Comma 3 6" xfId="1807"/>
    <cellStyle name="Comma 3 6 2" xfId="1808"/>
    <cellStyle name="Comma 3 7" xfId="4633"/>
    <cellStyle name="Comma 3_Biểu 14 - KH2015 dự án ODA" xfId="1809"/>
    <cellStyle name="Comma 30" xfId="1810"/>
    <cellStyle name="Comma 30 2" xfId="1811"/>
    <cellStyle name="Comma 30 2 2" xfId="4644"/>
    <cellStyle name="Comma 30 3" xfId="4643"/>
    <cellStyle name="Comma 31" xfId="1812"/>
    <cellStyle name="Comma 31 2" xfId="1813"/>
    <cellStyle name="Comma 31 2 2" xfId="4647"/>
    <cellStyle name="Comma 31 2 3" xfId="4646"/>
    <cellStyle name="Comma 31 3" xfId="4645"/>
    <cellStyle name="Comma 32" xfId="1814"/>
    <cellStyle name="Comma 32 2" xfId="1815"/>
    <cellStyle name="Comma 32 2 2" xfId="1816"/>
    <cellStyle name="Comma 32 2 3" xfId="4649"/>
    <cellStyle name="Comma 32 3" xfId="1817"/>
    <cellStyle name="Comma 32 4" xfId="4648"/>
    <cellStyle name="Comma 33" xfId="1818"/>
    <cellStyle name="Comma 33 2" xfId="1819"/>
    <cellStyle name="Comma 33 2 2" xfId="4651"/>
    <cellStyle name="Comma 33 3" xfId="4650"/>
    <cellStyle name="Comma 34" xfId="1820"/>
    <cellStyle name="Comma 34 2" xfId="1821"/>
    <cellStyle name="Comma 34 2 2" xfId="4653"/>
    <cellStyle name="Comma 34 3" xfId="4652"/>
    <cellStyle name="Comma 35" xfId="1822"/>
    <cellStyle name="Comma 35 2" xfId="1823"/>
    <cellStyle name="Comma 35 2 2" xfId="4655"/>
    <cellStyle name="Comma 35 3" xfId="1824"/>
    <cellStyle name="Comma 35 3 2" xfId="1825"/>
    <cellStyle name="Comma 35 4" xfId="1826"/>
    <cellStyle name="Comma 35 4 2" xfId="1827"/>
    <cellStyle name="Comma 35 5" xfId="4654"/>
    <cellStyle name="Comma 36" xfId="1828"/>
    <cellStyle name="Comma 36 2" xfId="1829"/>
    <cellStyle name="Comma 36 2 2" xfId="4657"/>
    <cellStyle name="Comma 36 3" xfId="4656"/>
    <cellStyle name="Comma 37" xfId="1830"/>
    <cellStyle name="Comma 37 2" xfId="1831"/>
    <cellStyle name="Comma 37 2 2" xfId="4659"/>
    <cellStyle name="Comma 37 3" xfId="4658"/>
    <cellStyle name="Comma 38" xfId="1832"/>
    <cellStyle name="Comma 38 2" xfId="4661"/>
    <cellStyle name="Comma 38 3" xfId="4660"/>
    <cellStyle name="Comma 39" xfId="1833"/>
    <cellStyle name="Comma 39 2" xfId="1834"/>
    <cellStyle name="Comma 39 2 2" xfId="4663"/>
    <cellStyle name="Comma 39 3" xfId="4662"/>
    <cellStyle name="Comma 4" xfId="7"/>
    <cellStyle name="Comma 4 10" xfId="1835"/>
    <cellStyle name="Comma 4 11" xfId="1836"/>
    <cellStyle name="Comma 4 12" xfId="1837"/>
    <cellStyle name="Comma 4 13" xfId="1838"/>
    <cellStyle name="Comma 4 14" xfId="1839"/>
    <cellStyle name="Comma 4 15" xfId="1840"/>
    <cellStyle name="Comma 4 16" xfId="1841"/>
    <cellStyle name="Comma 4 17" xfId="1842"/>
    <cellStyle name="Comma 4 18" xfId="1843"/>
    <cellStyle name="Comma 4 19" xfId="1844"/>
    <cellStyle name="Comma 4 2" xfId="1845"/>
    <cellStyle name="Comma 4 2 2" xfId="1846"/>
    <cellStyle name="Comma 4 2 2 2" xfId="4665"/>
    <cellStyle name="Comma 4 2 3" xfId="4666"/>
    <cellStyle name="Comma 4 20" xfId="4664"/>
    <cellStyle name="Comma 4 3" xfId="1847"/>
    <cellStyle name="Comma 4 3 2" xfId="1848"/>
    <cellStyle name="Comma 4 3 2 2" xfId="1849"/>
    <cellStyle name="Comma 4 3 3" xfId="1850"/>
    <cellStyle name="Comma 4 4" xfId="1851"/>
    <cellStyle name="Comma 4 4 2" xfId="1852"/>
    <cellStyle name="Comma 4 4 2 2" xfId="4667"/>
    <cellStyle name="Comma 4 4 3" xfId="1853"/>
    <cellStyle name="Comma 4 4 4" xfId="1854"/>
    <cellStyle name="Comma 4 5" xfId="1855"/>
    <cellStyle name="Comma 4 5 2" xfId="4669"/>
    <cellStyle name="Comma 4 5 3" xfId="4668"/>
    <cellStyle name="Comma 4 6" xfId="1856"/>
    <cellStyle name="Comma 4 6 2" xfId="4671"/>
    <cellStyle name="Comma 4 6 3" xfId="4670"/>
    <cellStyle name="Comma 4 7" xfId="1857"/>
    <cellStyle name="Comma 4 7 2" xfId="4672"/>
    <cellStyle name="Comma 4 8" xfId="1858"/>
    <cellStyle name="Comma 4 9" xfId="1859"/>
    <cellStyle name="Comma 4_THEO DOI THUC HIEN (GỐC 1)" xfId="1860"/>
    <cellStyle name="Comma 40" xfId="1861"/>
    <cellStyle name="Comma 40 2" xfId="1862"/>
    <cellStyle name="Comma 40 3" xfId="4673"/>
    <cellStyle name="Comma 41" xfId="1863"/>
    <cellStyle name="Comma 41 2" xfId="4674"/>
    <cellStyle name="Comma 42" xfId="1864"/>
    <cellStyle name="Comma 42 2" xfId="4675"/>
    <cellStyle name="Comma 43" xfId="1865"/>
    <cellStyle name="Comma 43 2" xfId="4676"/>
    <cellStyle name="Comma 44" xfId="1866"/>
    <cellStyle name="Comma 44 2" xfId="4678"/>
    <cellStyle name="Comma 44 3" xfId="4677"/>
    <cellStyle name="Comma 45" xfId="1867"/>
    <cellStyle name="Comma 45 2" xfId="4679"/>
    <cellStyle name="Comma 46" xfId="1868"/>
    <cellStyle name="Comma 46 2" xfId="4680"/>
    <cellStyle name="Comma 47" xfId="1869"/>
    <cellStyle name="Comma 47 2" xfId="4682"/>
    <cellStyle name="Comma 47 3" xfId="4681"/>
    <cellStyle name="Comma 48" xfId="1870"/>
    <cellStyle name="Comma 48 2" xfId="4684"/>
    <cellStyle name="Comma 48 3" xfId="4683"/>
    <cellStyle name="Comma 49" xfId="1871"/>
    <cellStyle name="Comma 49 2" xfId="4686"/>
    <cellStyle name="Comma 49 3" xfId="4685"/>
    <cellStyle name="Comma 5" xfId="1872"/>
    <cellStyle name="Comma 5 10" xfId="1873"/>
    <cellStyle name="Comma 5 11" xfId="1874"/>
    <cellStyle name="Comma 5 12" xfId="1875"/>
    <cellStyle name="Comma 5 13" xfId="1876"/>
    <cellStyle name="Comma 5 14" xfId="1877"/>
    <cellStyle name="Comma 5 15" xfId="1878"/>
    <cellStyle name="Comma 5 16" xfId="1879"/>
    <cellStyle name="Comma 5 17" xfId="1880"/>
    <cellStyle name="Comma 5 17 2" xfId="1881"/>
    <cellStyle name="Comma 5 18" xfId="1882"/>
    <cellStyle name="Comma 5 19" xfId="1883"/>
    <cellStyle name="Comma 5 2" xfId="1884"/>
    <cellStyle name="Comma 5 2 2" xfId="1885"/>
    <cellStyle name="Comma 5 2 2 2" xfId="4689"/>
    <cellStyle name="Comma 5 2 3" xfId="4688"/>
    <cellStyle name="Comma 5 20" xfId="1886"/>
    <cellStyle name="Comma 5 21" xfId="4687"/>
    <cellStyle name="Comma 5 3" xfId="1887"/>
    <cellStyle name="Comma 5 3 2" xfId="1888"/>
    <cellStyle name="Comma 5 3 2 2" xfId="4691"/>
    <cellStyle name="Comma 5 3 3" xfId="4690"/>
    <cellStyle name="Comma 5 4" xfId="1889"/>
    <cellStyle name="Comma 5 4 2" xfId="1890"/>
    <cellStyle name="Comma 5 4 2 2" xfId="4693"/>
    <cellStyle name="Comma 5 4 3" xfId="4692"/>
    <cellStyle name="Comma 5 5" xfId="1891"/>
    <cellStyle name="Comma 5 5 2" xfId="1892"/>
    <cellStyle name="Comma 5 5 3" xfId="4694"/>
    <cellStyle name="Comma 5 6" xfId="1893"/>
    <cellStyle name="Comma 5 6 2" xfId="4695"/>
    <cellStyle name="Comma 5 7" xfId="1894"/>
    <cellStyle name="Comma 5 7 2" xfId="4696"/>
    <cellStyle name="Comma 5 8" xfId="1895"/>
    <cellStyle name="Comma 5 9" xfId="1896"/>
    <cellStyle name="Comma 5_05-12  KH trung han 2016-2020 - Liem Thinh edited" xfId="1897"/>
    <cellStyle name="Comma 50" xfId="1898"/>
    <cellStyle name="Comma 50 2" xfId="1899"/>
    <cellStyle name="Comma 50 3" xfId="4697"/>
    <cellStyle name="Comma 51" xfId="1900"/>
    <cellStyle name="Comma 51 2" xfId="1901"/>
    <cellStyle name="Comma 51 2 2" xfId="4699"/>
    <cellStyle name="Comma 51 3" xfId="4698"/>
    <cellStyle name="Comma 52" xfId="1902"/>
    <cellStyle name="Comma 52 2" xfId="4700"/>
    <cellStyle name="Comma 53" xfId="4701"/>
    <cellStyle name="Comma 53 2" xfId="4702"/>
    <cellStyle name="Comma 53 3" xfId="4703"/>
    <cellStyle name="Comma 54" xfId="4704"/>
    <cellStyle name="Comma 55" xfId="4705"/>
    <cellStyle name="Comma 56" xfId="4706"/>
    <cellStyle name="Comma 57" xfId="4707"/>
    <cellStyle name="Comma 57 2" xfId="4708"/>
    <cellStyle name="Comma 58" xfId="4709"/>
    <cellStyle name="Comma 58 2" xfId="4710"/>
    <cellStyle name="Comma 59" xfId="4711"/>
    <cellStyle name="Comma 6" xfId="8"/>
    <cellStyle name="Comma 6 2" xfId="1903"/>
    <cellStyle name="Comma 6 2 2" xfId="1904"/>
    <cellStyle name="Comma 6 2 2 2" xfId="4713"/>
    <cellStyle name="Comma 6 2 3" xfId="4714"/>
    <cellStyle name="Comma 6 3" xfId="1905"/>
    <cellStyle name="Comma 6 3 2" xfId="4715"/>
    <cellStyle name="Comma 6 4" xfId="1906"/>
    <cellStyle name="Comma 6 4 2" xfId="4716"/>
    <cellStyle name="Comma 6 5" xfId="4712"/>
    <cellStyle name="Comma 60" xfId="4717"/>
    <cellStyle name="Comma 61" xfId="4718"/>
    <cellStyle name="Comma 62" xfId="4719"/>
    <cellStyle name="Comma 63" xfId="4720"/>
    <cellStyle name="Comma 64" xfId="4721"/>
    <cellStyle name="Comma 64 2" xfId="4722"/>
    <cellStyle name="Comma 64 3" xfId="4723"/>
    <cellStyle name="Comma 64 3 2" xfId="4724"/>
    <cellStyle name="Comma 65" xfId="4725"/>
    <cellStyle name="Comma 66" xfId="4726"/>
    <cellStyle name="Comma 67" xfId="4727"/>
    <cellStyle name="Comma 67 2" xfId="4728"/>
    <cellStyle name="Comma 68" xfId="4729"/>
    <cellStyle name="Comma 68 2" xfId="4730"/>
    <cellStyle name="Comma 69" xfId="4731"/>
    <cellStyle name="Comma 69 2" xfId="4732"/>
    <cellStyle name="Comma 7" xfId="9"/>
    <cellStyle name="Comma 7 2" xfId="1907"/>
    <cellStyle name="Comma 7 2 2" xfId="4734"/>
    <cellStyle name="Comma 7 3" xfId="1908"/>
    <cellStyle name="Comma 7 3 2" xfId="1909"/>
    <cellStyle name="Comma 7 3 3" xfId="4735"/>
    <cellStyle name="Comma 7 4" xfId="4733"/>
    <cellStyle name="Comma 7_20131129 Nhu cau 2014_TPCP ODA (co hoan ung)" xfId="1910"/>
    <cellStyle name="Comma 70" xfId="4736"/>
    <cellStyle name="Comma 71" xfId="4737"/>
    <cellStyle name="Comma 72" xfId="4738"/>
    <cellStyle name="Comma 73" xfId="4739"/>
    <cellStyle name="Comma 74" xfId="4740"/>
    <cellStyle name="Comma 75" xfId="4741"/>
    <cellStyle name="Comma 76" xfId="4742"/>
    <cellStyle name="Comma 77" xfId="4743"/>
    <cellStyle name="Comma 78" xfId="4744"/>
    <cellStyle name="Comma 79" xfId="4745"/>
    <cellStyle name="Comma 8" xfId="1911"/>
    <cellStyle name="Comma 8 2" xfId="1912"/>
    <cellStyle name="Comma 8 2 2" xfId="1913"/>
    <cellStyle name="Comma 8 2 2 2" xfId="4748"/>
    <cellStyle name="Comma 8 2 3" xfId="4749"/>
    <cellStyle name="Comma 8 2 4" xfId="4747"/>
    <cellStyle name="Comma 8 3" xfId="1914"/>
    <cellStyle name="Comma 8 3 2" xfId="4750"/>
    <cellStyle name="Comma 8 4" xfId="1915"/>
    <cellStyle name="Comma 8 5" xfId="4746"/>
    <cellStyle name="Comma 80" xfId="4751"/>
    <cellStyle name="Comma 81" xfId="4752"/>
    <cellStyle name="Comma 82" xfId="4753"/>
    <cellStyle name="Comma 83" xfId="4754"/>
    <cellStyle name="Comma 84" xfId="4755"/>
    <cellStyle name="Comma 85" xfId="4454"/>
    <cellStyle name="Comma 9" xfId="1916"/>
    <cellStyle name="Comma 9 2" xfId="1917"/>
    <cellStyle name="Comma 9 2 2" xfId="1918"/>
    <cellStyle name="Comma 9 2 2 2" xfId="4756"/>
    <cellStyle name="Comma 9 2 3" xfId="1919"/>
    <cellStyle name="Comma 9 2 3 2" xfId="4757"/>
    <cellStyle name="Comma 9 3" xfId="1920"/>
    <cellStyle name="Comma 9 3 2" xfId="1921"/>
    <cellStyle name="Comma 9 3 2 2" xfId="4758"/>
    <cellStyle name="Comma 9 4" xfId="1922"/>
    <cellStyle name="Comma 9 4 2" xfId="4759"/>
    <cellStyle name="Comma 9 5" xfId="1923"/>
    <cellStyle name="Comma 9 5 2" xfId="4760"/>
    <cellStyle name="comma zerodec" xfId="1924"/>
    <cellStyle name="Comma0" xfId="1925"/>
    <cellStyle name="Comma0 10" xfId="1926"/>
    <cellStyle name="Comma0 11" xfId="1927"/>
    <cellStyle name="Comma0 12" xfId="1928"/>
    <cellStyle name="Comma0 13" xfId="1929"/>
    <cellStyle name="Comma0 14" xfId="1930"/>
    <cellStyle name="Comma0 15" xfId="1931"/>
    <cellStyle name="Comma0 16" xfId="1932"/>
    <cellStyle name="Comma0 2" xfId="1933"/>
    <cellStyle name="Comma0 2 2" xfId="1934"/>
    <cellStyle name="Comma0 3" xfId="1935"/>
    <cellStyle name="Comma0 4" xfId="1936"/>
    <cellStyle name="Comma0 5" xfId="1937"/>
    <cellStyle name="Comma0 6" xfId="1938"/>
    <cellStyle name="Comma0 7" xfId="1939"/>
    <cellStyle name="Comma0 8" xfId="1940"/>
    <cellStyle name="Comma0 9" xfId="1941"/>
    <cellStyle name="Company Name" xfId="1942"/>
    <cellStyle name="cong" xfId="1943"/>
    <cellStyle name="Copied" xfId="1944"/>
    <cellStyle name="Co聭ma_Sheet1" xfId="1945"/>
    <cellStyle name="CR Comma" xfId="1946"/>
    <cellStyle name="CR Currency" xfId="1947"/>
    <cellStyle name="Credit" xfId="1948"/>
    <cellStyle name="Credit subtotal" xfId="1949"/>
    <cellStyle name="Credit Total" xfId="1950"/>
    <cellStyle name="Cࡵrrency_Sheet1_PRODUCTĠ" xfId="1951"/>
    <cellStyle name="Curråncy [0]_FCST_RESULTS" xfId="1952"/>
    <cellStyle name="Currency %" xfId="1953"/>
    <cellStyle name="Currency % 10" xfId="1954"/>
    <cellStyle name="Currency % 11" xfId="1955"/>
    <cellStyle name="Currency % 12" xfId="1956"/>
    <cellStyle name="Currency % 13" xfId="1957"/>
    <cellStyle name="Currency % 14" xfId="1958"/>
    <cellStyle name="Currency % 15" xfId="1959"/>
    <cellStyle name="Currency % 2" xfId="1960"/>
    <cellStyle name="Currency % 3" xfId="1961"/>
    <cellStyle name="Currency % 4" xfId="1962"/>
    <cellStyle name="Currency % 5" xfId="1963"/>
    <cellStyle name="Currency % 6" xfId="1964"/>
    <cellStyle name="Currency % 7" xfId="1965"/>
    <cellStyle name="Currency % 8" xfId="1966"/>
    <cellStyle name="Currency % 9" xfId="1967"/>
    <cellStyle name="Currency %_05-12  KH trung han 2016-2020 - Liem Thinh edited" xfId="1968"/>
    <cellStyle name="Currency [0]ßmud plant bolted_RESULTS" xfId="1969"/>
    <cellStyle name="Currency [00]" xfId="1970"/>
    <cellStyle name="Currency [00] 10" xfId="1971"/>
    <cellStyle name="Currency [00] 11" xfId="1972"/>
    <cellStyle name="Currency [00] 12" xfId="1973"/>
    <cellStyle name="Currency [00] 13" xfId="1974"/>
    <cellStyle name="Currency [00] 14" xfId="1975"/>
    <cellStyle name="Currency [00] 15" xfId="1976"/>
    <cellStyle name="Currency [00] 16" xfId="1977"/>
    <cellStyle name="Currency [00] 2" xfId="1978"/>
    <cellStyle name="Currency [00] 3" xfId="1979"/>
    <cellStyle name="Currency [00] 4" xfId="1980"/>
    <cellStyle name="Currency [00] 5" xfId="1981"/>
    <cellStyle name="Currency [00] 6" xfId="1982"/>
    <cellStyle name="Currency [00] 7" xfId="1983"/>
    <cellStyle name="Currency [00] 8" xfId="1984"/>
    <cellStyle name="Currency [00] 9" xfId="1985"/>
    <cellStyle name="Currency 0.0" xfId="1986"/>
    <cellStyle name="Currency 0.0%" xfId="1987"/>
    <cellStyle name="Currency 0.0_05-12  KH trung han 2016-2020 - Liem Thinh edited" xfId="1988"/>
    <cellStyle name="Currency 0.00" xfId="1989"/>
    <cellStyle name="Currency 0.00%" xfId="1990"/>
    <cellStyle name="Currency 0.00_05-12  KH trung han 2016-2020 - Liem Thinh edited" xfId="1991"/>
    <cellStyle name="Currency 0.000" xfId="1992"/>
    <cellStyle name="Currency 0.000%" xfId="1993"/>
    <cellStyle name="Currency 0.000_05-12  KH trung han 2016-2020 - Liem Thinh edited" xfId="1994"/>
    <cellStyle name="Currency 2" xfId="1995"/>
    <cellStyle name="Currency 2 10" xfId="1996"/>
    <cellStyle name="Currency 2 11" xfId="1997"/>
    <cellStyle name="Currency 2 12" xfId="1998"/>
    <cellStyle name="Currency 2 13" xfId="1999"/>
    <cellStyle name="Currency 2 14" xfId="2000"/>
    <cellStyle name="Currency 2 15" xfId="2001"/>
    <cellStyle name="Currency 2 16" xfId="2002"/>
    <cellStyle name="Currency 2 2" xfId="2003"/>
    <cellStyle name="Currency 2 2 2" xfId="4761"/>
    <cellStyle name="Currency 2 3" xfId="2004"/>
    <cellStyle name="Currency 2 4" xfId="2005"/>
    <cellStyle name="Currency 2 5" xfId="2006"/>
    <cellStyle name="Currency 2 6" xfId="2007"/>
    <cellStyle name="Currency 2 7" xfId="2008"/>
    <cellStyle name="Currency 2 8" xfId="2009"/>
    <cellStyle name="Currency 2 9" xfId="2010"/>
    <cellStyle name="Currency 3" xfId="4762"/>
    <cellStyle name="Currency 4" xfId="4763"/>
    <cellStyle name="Currency 4 2" xfId="4764"/>
    <cellStyle name="Currency 5" xfId="4765"/>
    <cellStyle name="Currency![0]_FCSt (2)" xfId="2011"/>
    <cellStyle name="Currency0" xfId="2012"/>
    <cellStyle name="Currency0 10" xfId="2013"/>
    <cellStyle name="Currency0 11" xfId="2014"/>
    <cellStyle name="Currency0 12" xfId="2015"/>
    <cellStyle name="Currency0 13" xfId="2016"/>
    <cellStyle name="Currency0 14" xfId="2017"/>
    <cellStyle name="Currency0 15" xfId="2018"/>
    <cellStyle name="Currency0 16" xfId="2019"/>
    <cellStyle name="Currency0 2" xfId="2020"/>
    <cellStyle name="Currency0 2 2" xfId="2021"/>
    <cellStyle name="Currency0 3" xfId="2022"/>
    <cellStyle name="Currency0 4" xfId="2023"/>
    <cellStyle name="Currency0 5" xfId="2024"/>
    <cellStyle name="Currency0 6" xfId="2025"/>
    <cellStyle name="Currency0 7" xfId="2026"/>
    <cellStyle name="Currency0 8" xfId="2027"/>
    <cellStyle name="Currency0 9" xfId="2028"/>
    <cellStyle name="Currency1" xfId="2029"/>
    <cellStyle name="Currency1 10" xfId="2030"/>
    <cellStyle name="Currency1 11" xfId="2031"/>
    <cellStyle name="Currency1 12" xfId="2032"/>
    <cellStyle name="Currency1 13" xfId="2033"/>
    <cellStyle name="Currency1 14" xfId="2034"/>
    <cellStyle name="Currency1 15" xfId="2035"/>
    <cellStyle name="Currency1 16" xfId="2036"/>
    <cellStyle name="Currency1 2" xfId="2037"/>
    <cellStyle name="Currency1 2 2" xfId="2038"/>
    <cellStyle name="Currency1 3" xfId="2039"/>
    <cellStyle name="Currency1 4" xfId="2040"/>
    <cellStyle name="Currency1 5" xfId="2041"/>
    <cellStyle name="Currency1 6" xfId="2042"/>
    <cellStyle name="Currency1 7" xfId="2043"/>
    <cellStyle name="Currency1 8" xfId="2044"/>
    <cellStyle name="Currency1 9" xfId="2045"/>
    <cellStyle name="Check Cell 2" xfId="2046"/>
    <cellStyle name="Chi phÝ kh¸c_Book1" xfId="2047"/>
    <cellStyle name="CHUONG" xfId="2048"/>
    <cellStyle name="D1" xfId="2049"/>
    <cellStyle name="Date" xfId="2050"/>
    <cellStyle name="Date 10" xfId="2051"/>
    <cellStyle name="Date 11" xfId="2052"/>
    <cellStyle name="Date 12" xfId="2053"/>
    <cellStyle name="Date 13" xfId="2054"/>
    <cellStyle name="Date 14" xfId="2055"/>
    <cellStyle name="Date 15" xfId="2056"/>
    <cellStyle name="Date 16" xfId="2057"/>
    <cellStyle name="Date 2" xfId="2058"/>
    <cellStyle name="Date 2 2" xfId="2059"/>
    <cellStyle name="Date 3" xfId="2060"/>
    <cellStyle name="Date 4" xfId="2061"/>
    <cellStyle name="Date 5" xfId="2062"/>
    <cellStyle name="Date 6" xfId="2063"/>
    <cellStyle name="Date 7" xfId="2064"/>
    <cellStyle name="Date 8" xfId="2065"/>
    <cellStyle name="Date 9" xfId="2066"/>
    <cellStyle name="Date Short" xfId="2067"/>
    <cellStyle name="Date Short 2" xfId="2068"/>
    <cellStyle name="Date_Book1" xfId="2069"/>
    <cellStyle name="DAUDE" xfId="2070"/>
    <cellStyle name="Dấu_phảy 2" xfId="2071"/>
    <cellStyle name="Debit" xfId="2072"/>
    <cellStyle name="Debit subtotal" xfId="2073"/>
    <cellStyle name="Debit Total" xfId="2074"/>
    <cellStyle name="DELTA" xfId="2075"/>
    <cellStyle name="DELTA 10" xfId="2076"/>
    <cellStyle name="DELTA 11" xfId="2077"/>
    <cellStyle name="DELTA 12" xfId="2078"/>
    <cellStyle name="DELTA 13" xfId="2079"/>
    <cellStyle name="DELTA 14" xfId="2080"/>
    <cellStyle name="DELTA 15" xfId="2081"/>
    <cellStyle name="DELTA 2" xfId="2082"/>
    <cellStyle name="DELTA 3" xfId="2083"/>
    <cellStyle name="DELTA 4" xfId="2084"/>
    <cellStyle name="DELTA 5" xfId="2085"/>
    <cellStyle name="DELTA 6" xfId="2086"/>
    <cellStyle name="DELTA 7" xfId="2087"/>
    <cellStyle name="DELTA 8" xfId="2088"/>
    <cellStyle name="DELTA 9" xfId="2089"/>
    <cellStyle name="Dezimal [0]_35ERI8T2gbIEMixb4v26icuOo" xfId="2090"/>
    <cellStyle name="Dezimal_35ERI8T2gbIEMixb4v26icuOo" xfId="2091"/>
    <cellStyle name="Dg" xfId="2092"/>
    <cellStyle name="Dgia" xfId="2093"/>
    <cellStyle name="Dgia 2" xfId="2094"/>
    <cellStyle name="Dollar (zero dec)" xfId="2095"/>
    <cellStyle name="Dollar (zero dec) 10" xfId="2096"/>
    <cellStyle name="Dollar (zero dec) 11" xfId="2097"/>
    <cellStyle name="Dollar (zero dec) 12" xfId="2098"/>
    <cellStyle name="Dollar (zero dec) 13" xfId="2099"/>
    <cellStyle name="Dollar (zero dec) 14" xfId="2100"/>
    <cellStyle name="Dollar (zero dec) 15" xfId="2101"/>
    <cellStyle name="Dollar (zero dec) 16" xfId="2102"/>
    <cellStyle name="Dollar (zero dec) 2" xfId="2103"/>
    <cellStyle name="Dollar (zero dec) 2 2" xfId="2104"/>
    <cellStyle name="Dollar (zero dec) 3" xfId="2105"/>
    <cellStyle name="Dollar (zero dec) 4" xfId="2106"/>
    <cellStyle name="Dollar (zero dec) 5" xfId="2107"/>
    <cellStyle name="Dollar (zero dec) 6" xfId="2108"/>
    <cellStyle name="Dollar (zero dec) 7" xfId="2109"/>
    <cellStyle name="Dollar (zero dec) 8" xfId="2110"/>
    <cellStyle name="Dollar (zero dec) 9" xfId="2111"/>
    <cellStyle name="Don gia" xfId="2112"/>
    <cellStyle name="Dziesi?tny [0]_Invoices2001Slovakia" xfId="2113"/>
    <cellStyle name="Dziesi?tny_Invoices2001Slovakia" xfId="2114"/>
    <cellStyle name="Dziesietny [0]_Invoices2001Slovakia" xfId="2115"/>
    <cellStyle name="Dziesiętny [0]_Invoices2001Slovakia" xfId="2116"/>
    <cellStyle name="Dziesietny [0]_Invoices2001Slovakia 2" xfId="2117"/>
    <cellStyle name="Dziesiętny [0]_Invoices2001Slovakia 2" xfId="2118"/>
    <cellStyle name="Dziesietny [0]_Invoices2001Slovakia 3" xfId="2119"/>
    <cellStyle name="Dziesiętny [0]_Invoices2001Slovakia 3" xfId="2120"/>
    <cellStyle name="Dziesietny [0]_Invoices2001Slovakia 4" xfId="2121"/>
    <cellStyle name="Dziesiętny [0]_Invoices2001Slovakia 4" xfId="2122"/>
    <cellStyle name="Dziesietny [0]_Invoices2001Slovakia 5" xfId="2123"/>
    <cellStyle name="Dziesiętny [0]_Invoices2001Slovakia 5" xfId="2124"/>
    <cellStyle name="Dziesietny [0]_Invoices2001Slovakia 6" xfId="2125"/>
    <cellStyle name="Dziesiętny [0]_Invoices2001Slovakia 6" xfId="2126"/>
    <cellStyle name="Dziesietny [0]_Invoices2001Slovakia 7" xfId="2127"/>
    <cellStyle name="Dziesiętny [0]_Invoices2001Slovakia 7" xfId="2128"/>
    <cellStyle name="Dziesietny [0]_Invoices2001Slovakia_01_Nha so 1_Dien" xfId="2129"/>
    <cellStyle name="Dziesiętny [0]_Invoices2001Slovakia_01_Nha so 1_Dien" xfId="2130"/>
    <cellStyle name="Dziesietny [0]_Invoices2001Slovakia_05-12  KH trung han 2016-2020 - Liem Thinh edited" xfId="2131"/>
    <cellStyle name="Dziesiętny [0]_Invoices2001Slovakia_05-12  KH trung han 2016-2020 - Liem Thinh edited" xfId="2132"/>
    <cellStyle name="Dziesietny [0]_Invoices2001Slovakia_10_Nha so 10_Dien1" xfId="2133"/>
    <cellStyle name="Dziesiętny [0]_Invoices2001Slovakia_10_Nha so 10_Dien1" xfId="2134"/>
    <cellStyle name="Dziesietny [0]_Invoices2001Slovakia_Book1" xfId="2135"/>
    <cellStyle name="Dziesiętny [0]_Invoices2001Slovakia_Book1" xfId="2136"/>
    <cellStyle name="Dziesietny [0]_Invoices2001Slovakia_Book1_1" xfId="2137"/>
    <cellStyle name="Dziesiętny [0]_Invoices2001Slovakia_Book1_1" xfId="2138"/>
    <cellStyle name="Dziesietny [0]_Invoices2001Slovakia_Book1_1_Book1" xfId="2139"/>
    <cellStyle name="Dziesiętny [0]_Invoices2001Slovakia_Book1_1_Book1" xfId="2140"/>
    <cellStyle name="Dziesietny [0]_Invoices2001Slovakia_Book1_2" xfId="2141"/>
    <cellStyle name="Dziesiętny [0]_Invoices2001Slovakia_Book1_2" xfId="2142"/>
    <cellStyle name="Dziesietny [0]_Invoices2001Slovakia_Book1_Nhu cau von ung truoc 2011 Tha h Hoa + Nge An gui TW" xfId="2143"/>
    <cellStyle name="Dziesiętny [0]_Invoices2001Slovakia_Book1_Nhu cau von ung truoc 2011 Tha h Hoa + Nge An gui TW" xfId="2144"/>
    <cellStyle name="Dziesietny [0]_Invoices2001Slovakia_Book1_Nhu cau von ung truoc 2011 Tha h Hoa + Nge An gui TW 2" xfId="4766"/>
    <cellStyle name="Dziesiętny [0]_Invoices2001Slovakia_Book1_Nhu cau von ung truoc 2011 Tha h Hoa + Nge An gui TW 2" xfId="4767"/>
    <cellStyle name="Dziesietny [0]_Invoices2001Slovakia_Book1_Tong hop Cac tuyen(9-1-06)" xfId="2145"/>
    <cellStyle name="Dziesiętny [0]_Invoices2001Slovakia_Book1_Tong hop Cac tuyen(9-1-06)" xfId="2146"/>
    <cellStyle name="Dziesietny [0]_Invoices2001Slovakia_Book1_Tong hop Cac tuyen(9-1-06) 2" xfId="4768"/>
    <cellStyle name="Dziesiętny [0]_Invoices2001Slovakia_Book1_Tong hop Cac tuyen(9-1-06) 2" xfId="4769"/>
    <cellStyle name="Dziesietny [0]_Invoices2001Slovakia_Book1_ung truoc 2011 NSTW Thanh Hoa + Nge An gui Thu 12-5" xfId="2147"/>
    <cellStyle name="Dziesiętny [0]_Invoices2001Slovakia_Book1_ung truoc 2011 NSTW Thanh Hoa + Nge An gui Thu 12-5" xfId="2148"/>
    <cellStyle name="Dziesietny [0]_Invoices2001Slovakia_Book1_ung truoc 2011 NSTW Thanh Hoa + Nge An gui Thu 12-5 2" xfId="4770"/>
    <cellStyle name="Dziesiętny [0]_Invoices2001Slovakia_Book1_ung truoc 2011 NSTW Thanh Hoa + Nge An gui Thu 12-5 2" xfId="4771"/>
    <cellStyle name="Dziesietny [0]_Invoices2001Slovakia_Copy of 05-12  KH trung han 2016-2020 - Liem Thinh edited (1)" xfId="2149"/>
    <cellStyle name="Dziesiętny [0]_Invoices2001Slovakia_Copy of 05-12  KH trung han 2016-2020 - Liem Thinh edited (1)" xfId="2150"/>
    <cellStyle name="Dziesietny [0]_Invoices2001Slovakia_d-uong+TDT" xfId="2151"/>
    <cellStyle name="Dziesiętny [0]_Invoices2001Slovakia_KH TPCP 2016-2020 (tong hop)" xfId="2152"/>
    <cellStyle name="Dziesietny [0]_Invoices2001Slovakia_Nha bao ve(28-7-05)" xfId="2153"/>
    <cellStyle name="Dziesiętny [0]_Invoices2001Slovakia_Nha bao ve(28-7-05)" xfId="2154"/>
    <cellStyle name="Dziesietny [0]_Invoices2001Slovakia_Nha bao ve(28-7-05) 2" xfId="4772"/>
    <cellStyle name="Dziesiętny [0]_Invoices2001Slovakia_Nha bao ve(28-7-05) 2" xfId="4773"/>
    <cellStyle name="Dziesietny [0]_Invoices2001Slovakia_NHA de xe nguyen du" xfId="2155"/>
    <cellStyle name="Dziesiętny [0]_Invoices2001Slovakia_NHA de xe nguyen du" xfId="2156"/>
    <cellStyle name="Dziesietny [0]_Invoices2001Slovakia_NHA de xe nguyen du 2" xfId="4774"/>
    <cellStyle name="Dziesiętny [0]_Invoices2001Slovakia_NHA de xe nguyen du 2" xfId="4775"/>
    <cellStyle name="Dziesietny [0]_Invoices2001Slovakia_Nhalamviec VTC(25-1-05)" xfId="2157"/>
    <cellStyle name="Dziesiętny [0]_Invoices2001Slovakia_Nhalamviec VTC(25-1-05)" xfId="2158"/>
    <cellStyle name="Dziesietny [0]_Invoices2001Slovakia_Nhalamviec VTC(25-1-05) 2" xfId="4776"/>
    <cellStyle name="Dziesiętny [0]_Invoices2001Slovakia_TDT KHANH HOA" xfId="2159"/>
    <cellStyle name="Dziesietny [0]_Invoices2001Slovakia_TDT KHANH HOA_Tong hop Cac tuyen(9-1-06)" xfId="2160"/>
    <cellStyle name="Dziesiętny [0]_Invoices2001Slovakia_TDT KHANH HOA_Tong hop Cac tuyen(9-1-06)" xfId="2161"/>
    <cellStyle name="Dziesietny [0]_Invoices2001Slovakia_TDT KHANH HOA_Tong hop Cac tuyen(9-1-06) 2" xfId="4777"/>
    <cellStyle name="Dziesiętny [0]_Invoices2001Slovakia_TDT KHANH HOA_Tong hop Cac tuyen(9-1-06) 2" xfId="4778"/>
    <cellStyle name="Dziesietny [0]_Invoices2001Slovakia_TDT quangngai" xfId="2162"/>
    <cellStyle name="Dziesiętny [0]_Invoices2001Slovakia_TDT quangngai" xfId="2163"/>
    <cellStyle name="Dziesietny [0]_Invoices2001Slovakia_TDT quangngai 2" xfId="4779"/>
    <cellStyle name="Dziesiętny [0]_Invoices2001Slovakia_TDT quangngai 2" xfId="4780"/>
    <cellStyle name="Dziesietny [0]_Invoices2001Slovakia_TMDT(10-5-06)" xfId="2164"/>
    <cellStyle name="Dziesietny_Invoices2001Slovakia" xfId="2165"/>
    <cellStyle name="Dziesiętny_Invoices2001Slovakia" xfId="2166"/>
    <cellStyle name="Dziesietny_Invoices2001Slovakia 2" xfId="2167"/>
    <cellStyle name="Dziesiętny_Invoices2001Slovakia 2" xfId="2168"/>
    <cellStyle name="Dziesietny_Invoices2001Slovakia 3" xfId="2169"/>
    <cellStyle name="Dziesiętny_Invoices2001Slovakia 3" xfId="2170"/>
    <cellStyle name="Dziesietny_Invoices2001Slovakia 4" xfId="2171"/>
    <cellStyle name="Dziesiętny_Invoices2001Slovakia 4" xfId="2172"/>
    <cellStyle name="Dziesietny_Invoices2001Slovakia 5" xfId="2173"/>
    <cellStyle name="Dziesiętny_Invoices2001Slovakia 5" xfId="2174"/>
    <cellStyle name="Dziesietny_Invoices2001Slovakia 6" xfId="2175"/>
    <cellStyle name="Dziesiętny_Invoices2001Slovakia 6" xfId="2176"/>
    <cellStyle name="Dziesietny_Invoices2001Slovakia 7" xfId="2177"/>
    <cellStyle name="Dziesiętny_Invoices2001Slovakia 7" xfId="2178"/>
    <cellStyle name="Dziesietny_Invoices2001Slovakia_01_Nha so 1_Dien" xfId="2179"/>
    <cellStyle name="Dziesiętny_Invoices2001Slovakia_01_Nha so 1_Dien" xfId="2180"/>
    <cellStyle name="Dziesietny_Invoices2001Slovakia_05-12  KH trung han 2016-2020 - Liem Thinh edited" xfId="2181"/>
    <cellStyle name="Dziesiętny_Invoices2001Slovakia_05-12  KH trung han 2016-2020 - Liem Thinh edited" xfId="2182"/>
    <cellStyle name="Dziesietny_Invoices2001Slovakia_10_Nha so 10_Dien1" xfId="2183"/>
    <cellStyle name="Dziesiętny_Invoices2001Slovakia_10_Nha so 10_Dien1" xfId="2184"/>
    <cellStyle name="Dziesietny_Invoices2001Slovakia_Book1" xfId="2185"/>
    <cellStyle name="Dziesiętny_Invoices2001Slovakia_Book1" xfId="2186"/>
    <cellStyle name="Dziesietny_Invoices2001Slovakia_Book1_1" xfId="2187"/>
    <cellStyle name="Dziesiętny_Invoices2001Slovakia_Book1_1" xfId="2188"/>
    <cellStyle name="Dziesietny_Invoices2001Slovakia_Book1_1_Book1" xfId="2189"/>
    <cellStyle name="Dziesiętny_Invoices2001Slovakia_Book1_1_Book1" xfId="2190"/>
    <cellStyle name="Dziesietny_Invoices2001Slovakia_Book1_2" xfId="2191"/>
    <cellStyle name="Dziesiętny_Invoices2001Slovakia_Book1_2" xfId="2192"/>
    <cellStyle name="Dziesietny_Invoices2001Slovakia_Book1_Nhu cau von ung truoc 2011 Tha h Hoa + Nge An gui TW" xfId="2193"/>
    <cellStyle name="Dziesiętny_Invoices2001Slovakia_Book1_Nhu cau von ung truoc 2011 Tha h Hoa + Nge An gui TW" xfId="2194"/>
    <cellStyle name="Dziesietny_Invoices2001Slovakia_Book1_Nhu cau von ung truoc 2011 Tha h Hoa + Nge An gui TW 2" xfId="4781"/>
    <cellStyle name="Dziesiętny_Invoices2001Slovakia_Book1_Nhu cau von ung truoc 2011 Tha h Hoa + Nge An gui TW 2" xfId="4782"/>
    <cellStyle name="Dziesietny_Invoices2001Slovakia_Book1_Tong hop Cac tuyen(9-1-06)" xfId="2195"/>
    <cellStyle name="Dziesiętny_Invoices2001Slovakia_Book1_Tong hop Cac tuyen(9-1-06)" xfId="2196"/>
    <cellStyle name="Dziesietny_Invoices2001Slovakia_Book1_Tong hop Cac tuyen(9-1-06) 2" xfId="4783"/>
    <cellStyle name="Dziesiętny_Invoices2001Slovakia_Book1_Tong hop Cac tuyen(9-1-06) 2" xfId="4784"/>
    <cellStyle name="Dziesietny_Invoices2001Slovakia_Book1_ung truoc 2011 NSTW Thanh Hoa + Nge An gui Thu 12-5" xfId="2197"/>
    <cellStyle name="Dziesiętny_Invoices2001Slovakia_Book1_ung truoc 2011 NSTW Thanh Hoa + Nge An gui Thu 12-5" xfId="2198"/>
    <cellStyle name="Dziesietny_Invoices2001Slovakia_Book1_ung truoc 2011 NSTW Thanh Hoa + Nge An gui Thu 12-5 2" xfId="4785"/>
    <cellStyle name="Dziesiętny_Invoices2001Slovakia_Book1_ung truoc 2011 NSTW Thanh Hoa + Nge An gui Thu 12-5 2" xfId="4786"/>
    <cellStyle name="Dziesietny_Invoices2001Slovakia_Copy of 05-12  KH trung han 2016-2020 - Liem Thinh edited (1)" xfId="2199"/>
    <cellStyle name="Dziesiętny_Invoices2001Slovakia_Copy of 05-12  KH trung han 2016-2020 - Liem Thinh edited (1)" xfId="2200"/>
    <cellStyle name="Dziesietny_Invoices2001Slovakia_d-uong+TDT" xfId="2201"/>
    <cellStyle name="Dziesiętny_Invoices2001Slovakia_KH TPCP 2016-2020 (tong hop)" xfId="2202"/>
    <cellStyle name="Dziesietny_Invoices2001Slovakia_Nha bao ve(28-7-05)" xfId="2203"/>
    <cellStyle name="Dziesiętny_Invoices2001Slovakia_Nha bao ve(28-7-05)" xfId="2204"/>
    <cellStyle name="Dziesietny_Invoices2001Slovakia_Nha bao ve(28-7-05) 2" xfId="4787"/>
    <cellStyle name="Dziesiętny_Invoices2001Slovakia_Nha bao ve(28-7-05) 2" xfId="4788"/>
    <cellStyle name="Dziesietny_Invoices2001Slovakia_NHA de xe nguyen du" xfId="2205"/>
    <cellStyle name="Dziesiętny_Invoices2001Slovakia_NHA de xe nguyen du" xfId="2206"/>
    <cellStyle name="Dziesietny_Invoices2001Slovakia_NHA de xe nguyen du 2" xfId="4789"/>
    <cellStyle name="Dziesiętny_Invoices2001Slovakia_NHA de xe nguyen du 2" xfId="4790"/>
    <cellStyle name="Dziesietny_Invoices2001Slovakia_Nhalamviec VTC(25-1-05)" xfId="2207"/>
    <cellStyle name="Dziesiętny_Invoices2001Slovakia_Nhalamviec VTC(25-1-05)" xfId="2208"/>
    <cellStyle name="Dziesietny_Invoices2001Slovakia_Nhalamviec VTC(25-1-05) 2" xfId="4791"/>
    <cellStyle name="Dziesiętny_Invoices2001Slovakia_TDT KHANH HOA" xfId="2209"/>
    <cellStyle name="Dziesietny_Invoices2001Slovakia_TDT KHANH HOA_Tong hop Cac tuyen(9-1-06)" xfId="2210"/>
    <cellStyle name="Dziesiętny_Invoices2001Slovakia_TDT KHANH HOA_Tong hop Cac tuyen(9-1-06)" xfId="2211"/>
    <cellStyle name="Dziesietny_Invoices2001Slovakia_TDT KHANH HOA_Tong hop Cac tuyen(9-1-06) 2" xfId="4792"/>
    <cellStyle name="Dziesiętny_Invoices2001Slovakia_TDT KHANH HOA_Tong hop Cac tuyen(9-1-06) 2" xfId="4793"/>
    <cellStyle name="Dziesietny_Invoices2001Slovakia_TDT quangngai" xfId="2212"/>
    <cellStyle name="Dziesiętny_Invoices2001Slovakia_TDT quangngai" xfId="2213"/>
    <cellStyle name="Dziesietny_Invoices2001Slovakia_TDT quangngai 2" xfId="4794"/>
    <cellStyle name="Dziesiętny_Invoices2001Slovakia_TDT quangngai 2" xfId="4795"/>
    <cellStyle name="Dziesietny_Invoices2001Slovakia_TMDT(10-5-06)" xfId="2214"/>
    <cellStyle name="e" xfId="2215"/>
    <cellStyle name="Enter Currency (0)" xfId="2216"/>
    <cellStyle name="Enter Currency (0) 10" xfId="2217"/>
    <cellStyle name="Enter Currency (0) 11" xfId="2218"/>
    <cellStyle name="Enter Currency (0) 12" xfId="2219"/>
    <cellStyle name="Enter Currency (0) 13" xfId="2220"/>
    <cellStyle name="Enter Currency (0) 14" xfId="2221"/>
    <cellStyle name="Enter Currency (0) 15" xfId="2222"/>
    <cellStyle name="Enter Currency (0) 16" xfId="2223"/>
    <cellStyle name="Enter Currency (0) 2" xfId="2224"/>
    <cellStyle name="Enter Currency (0) 3" xfId="2225"/>
    <cellStyle name="Enter Currency (0) 4" xfId="2226"/>
    <cellStyle name="Enter Currency (0) 5" xfId="2227"/>
    <cellStyle name="Enter Currency (0) 6" xfId="2228"/>
    <cellStyle name="Enter Currency (0) 7" xfId="2229"/>
    <cellStyle name="Enter Currency (0) 8" xfId="2230"/>
    <cellStyle name="Enter Currency (0) 9" xfId="2231"/>
    <cellStyle name="Enter Currency (2)" xfId="2232"/>
    <cellStyle name="Enter Currency (2) 10" xfId="2233"/>
    <cellStyle name="Enter Currency (2) 11" xfId="2234"/>
    <cellStyle name="Enter Currency (2) 12" xfId="2235"/>
    <cellStyle name="Enter Currency (2) 13" xfId="2236"/>
    <cellStyle name="Enter Currency (2) 14" xfId="2237"/>
    <cellStyle name="Enter Currency (2) 15" xfId="2238"/>
    <cellStyle name="Enter Currency (2) 16" xfId="2239"/>
    <cellStyle name="Enter Currency (2) 2" xfId="2240"/>
    <cellStyle name="Enter Currency (2) 3" xfId="2241"/>
    <cellStyle name="Enter Currency (2) 4" xfId="2242"/>
    <cellStyle name="Enter Currency (2) 5" xfId="2243"/>
    <cellStyle name="Enter Currency (2) 6" xfId="2244"/>
    <cellStyle name="Enter Currency (2) 7" xfId="2245"/>
    <cellStyle name="Enter Currency (2) 8" xfId="2246"/>
    <cellStyle name="Enter Currency (2) 9" xfId="2247"/>
    <cellStyle name="Enter Units (0)" xfId="2248"/>
    <cellStyle name="Enter Units (0) 10" xfId="2249"/>
    <cellStyle name="Enter Units (0) 11" xfId="2250"/>
    <cellStyle name="Enter Units (0) 12" xfId="2251"/>
    <cellStyle name="Enter Units (0) 13" xfId="2252"/>
    <cellStyle name="Enter Units (0) 14" xfId="2253"/>
    <cellStyle name="Enter Units (0) 15" xfId="2254"/>
    <cellStyle name="Enter Units (0) 16" xfId="2255"/>
    <cellStyle name="Enter Units (0) 2" xfId="2256"/>
    <cellStyle name="Enter Units (0) 3" xfId="2257"/>
    <cellStyle name="Enter Units (0) 4" xfId="2258"/>
    <cellStyle name="Enter Units (0) 5" xfId="2259"/>
    <cellStyle name="Enter Units (0) 6" xfId="2260"/>
    <cellStyle name="Enter Units (0) 7" xfId="2261"/>
    <cellStyle name="Enter Units (0) 8" xfId="2262"/>
    <cellStyle name="Enter Units (0) 9" xfId="2263"/>
    <cellStyle name="Enter Units (1)" xfId="2264"/>
    <cellStyle name="Enter Units (1) 10" xfId="2265"/>
    <cellStyle name="Enter Units (1) 11" xfId="2266"/>
    <cellStyle name="Enter Units (1) 12" xfId="2267"/>
    <cellStyle name="Enter Units (1) 13" xfId="2268"/>
    <cellStyle name="Enter Units (1) 14" xfId="2269"/>
    <cellStyle name="Enter Units (1) 15" xfId="2270"/>
    <cellStyle name="Enter Units (1) 16" xfId="2271"/>
    <cellStyle name="Enter Units (1) 2" xfId="2272"/>
    <cellStyle name="Enter Units (1) 3" xfId="2273"/>
    <cellStyle name="Enter Units (1) 4" xfId="2274"/>
    <cellStyle name="Enter Units (1) 5" xfId="2275"/>
    <cellStyle name="Enter Units (1) 6" xfId="2276"/>
    <cellStyle name="Enter Units (1) 7" xfId="2277"/>
    <cellStyle name="Enter Units (1) 8" xfId="2278"/>
    <cellStyle name="Enter Units (1) 9" xfId="2279"/>
    <cellStyle name="Enter Units (2)" xfId="2280"/>
    <cellStyle name="Enter Units (2) 10" xfId="2281"/>
    <cellStyle name="Enter Units (2) 11" xfId="2282"/>
    <cellStyle name="Enter Units (2) 12" xfId="2283"/>
    <cellStyle name="Enter Units (2) 13" xfId="2284"/>
    <cellStyle name="Enter Units (2) 14" xfId="2285"/>
    <cellStyle name="Enter Units (2) 15" xfId="2286"/>
    <cellStyle name="Enter Units (2) 16" xfId="2287"/>
    <cellStyle name="Enter Units (2) 2" xfId="2288"/>
    <cellStyle name="Enter Units (2) 3" xfId="2289"/>
    <cellStyle name="Enter Units (2) 4" xfId="2290"/>
    <cellStyle name="Enter Units (2) 5" xfId="2291"/>
    <cellStyle name="Enter Units (2) 6" xfId="2292"/>
    <cellStyle name="Enter Units (2) 7" xfId="2293"/>
    <cellStyle name="Enter Units (2) 8" xfId="2294"/>
    <cellStyle name="Enter Units (2) 9" xfId="2295"/>
    <cellStyle name="Entered" xfId="2296"/>
    <cellStyle name="Euro" xfId="2297"/>
    <cellStyle name="Euro 10" xfId="2298"/>
    <cellStyle name="Euro 11" xfId="2299"/>
    <cellStyle name="Euro 12" xfId="2300"/>
    <cellStyle name="Euro 13" xfId="2301"/>
    <cellStyle name="Euro 14" xfId="2302"/>
    <cellStyle name="Euro 15" xfId="2303"/>
    <cellStyle name="Euro 16" xfId="2304"/>
    <cellStyle name="Euro 2" xfId="2305"/>
    <cellStyle name="Euro 3" xfId="2306"/>
    <cellStyle name="Euro 4" xfId="2307"/>
    <cellStyle name="Euro 5" xfId="2308"/>
    <cellStyle name="Euro 6" xfId="2309"/>
    <cellStyle name="Euro 7" xfId="2310"/>
    <cellStyle name="Euro 8" xfId="2311"/>
    <cellStyle name="Euro 9" xfId="2312"/>
    <cellStyle name="Excel Built-in Normal" xfId="2313"/>
    <cellStyle name="Explanatory Text 2" xfId="2314"/>
    <cellStyle name="f" xfId="2315"/>
    <cellStyle name="f_Danhmuc_Quyhoach2009" xfId="2316"/>
    <cellStyle name="f_Danhmuc_Quyhoach2009 2" xfId="2317"/>
    <cellStyle name="f_Danhmuc_Quyhoach2009 2 2" xfId="2318"/>
    <cellStyle name="Fixed" xfId="2319"/>
    <cellStyle name="Fixed 10" xfId="2320"/>
    <cellStyle name="Fixed 11" xfId="2321"/>
    <cellStyle name="Fixed 12" xfId="2322"/>
    <cellStyle name="Fixed 13" xfId="2323"/>
    <cellStyle name="Fixed 14" xfId="2324"/>
    <cellStyle name="Fixed 15" xfId="2325"/>
    <cellStyle name="Fixed 16" xfId="2326"/>
    <cellStyle name="Fixed 2" xfId="2327"/>
    <cellStyle name="Fixed 2 2" xfId="2328"/>
    <cellStyle name="Fixed 3" xfId="2329"/>
    <cellStyle name="Fixed 4" xfId="2330"/>
    <cellStyle name="Fixed 5" xfId="2331"/>
    <cellStyle name="Fixed 6" xfId="2332"/>
    <cellStyle name="Fixed 7" xfId="2333"/>
    <cellStyle name="Fixed 8" xfId="2334"/>
    <cellStyle name="Fixed 9" xfId="2335"/>
    <cellStyle name="Font Britannic16" xfId="2336"/>
    <cellStyle name="Font Britannic18" xfId="2337"/>
    <cellStyle name="Font CenturyCond 18" xfId="2338"/>
    <cellStyle name="Font Cond20" xfId="2339"/>
    <cellStyle name="Font LucidaSans16" xfId="2340"/>
    <cellStyle name="Font NewCenturyCond18" xfId="2341"/>
    <cellStyle name="Font Ottawa14" xfId="2342"/>
    <cellStyle name="Font Ottawa16" xfId="2343"/>
    <cellStyle name="Good 2" xfId="2344"/>
    <cellStyle name="Good 2 2" xfId="4796"/>
    <cellStyle name="Grey" xfId="2345"/>
    <cellStyle name="Grey 10" xfId="2346"/>
    <cellStyle name="Grey 11" xfId="2347"/>
    <cellStyle name="Grey 12" xfId="2348"/>
    <cellStyle name="Grey 13" xfId="2349"/>
    <cellStyle name="Grey 14" xfId="2350"/>
    <cellStyle name="Grey 15" xfId="2351"/>
    <cellStyle name="Grey 16" xfId="2352"/>
    <cellStyle name="Grey 2" xfId="2353"/>
    <cellStyle name="Grey 3" xfId="2354"/>
    <cellStyle name="Grey 4" xfId="2355"/>
    <cellStyle name="Grey 5" xfId="2356"/>
    <cellStyle name="Grey 6" xfId="2357"/>
    <cellStyle name="Grey 7" xfId="2358"/>
    <cellStyle name="Grey 8" xfId="2359"/>
    <cellStyle name="Grey 9" xfId="2360"/>
    <cellStyle name="Grey_KH TPCP 2016-2020 (tong hop)" xfId="2361"/>
    <cellStyle name="Group" xfId="2362"/>
    <cellStyle name="gia" xfId="2363"/>
    <cellStyle name="H" xfId="2364"/>
    <cellStyle name="ha" xfId="2365"/>
    <cellStyle name="HAI" xfId="2366"/>
    <cellStyle name="Head 1" xfId="2367"/>
    <cellStyle name="HEADER" xfId="2368"/>
    <cellStyle name="HEADER 2" xfId="2369"/>
    <cellStyle name="Header1" xfId="2370"/>
    <cellStyle name="Header1 2" xfId="2371"/>
    <cellStyle name="Header2" xfId="2372"/>
    <cellStyle name="Header2 2" xfId="2373"/>
    <cellStyle name="Heading" xfId="2374"/>
    <cellStyle name="Heading 1 2" xfId="2375"/>
    <cellStyle name="Heading 1 2 2" xfId="4797"/>
    <cellStyle name="Heading 2 2" xfId="2376"/>
    <cellStyle name="Heading 2 2 2" xfId="4798"/>
    <cellStyle name="Heading 3 2" xfId="2377"/>
    <cellStyle name="Heading 4 2" xfId="2378"/>
    <cellStyle name="Heading No Underline" xfId="2379"/>
    <cellStyle name="Heading With Underline" xfId="2380"/>
    <cellStyle name="HEADING1" xfId="2381"/>
    <cellStyle name="HEADING2" xfId="2382"/>
    <cellStyle name="HEADINGS" xfId="2383"/>
    <cellStyle name="HEADINGSTOP" xfId="2384"/>
    <cellStyle name="headoption" xfId="2385"/>
    <cellStyle name="headoption 2" xfId="2386"/>
    <cellStyle name="headoption 3" xfId="2387"/>
    <cellStyle name="Hoa-Scholl" xfId="2388"/>
    <cellStyle name="Hoa-Scholl 2" xfId="2389"/>
    <cellStyle name="HUY" xfId="2390"/>
    <cellStyle name="i phÝ kh¸c_B¶ng 2" xfId="2391"/>
    <cellStyle name="I.3" xfId="2392"/>
    <cellStyle name="i·0" xfId="2393"/>
    <cellStyle name="i·0 2" xfId="2394"/>
    <cellStyle name="i·0 3" xfId="4799"/>
    <cellStyle name="ï-¾È»ê_BiÓu TB" xfId="2395"/>
    <cellStyle name="Input [yellow]" xfId="2396"/>
    <cellStyle name="Input [yellow] 10" xfId="2397"/>
    <cellStyle name="Input [yellow] 11" xfId="2398"/>
    <cellStyle name="Input [yellow] 12" xfId="2399"/>
    <cellStyle name="Input [yellow] 13" xfId="2400"/>
    <cellStyle name="Input [yellow] 14" xfId="2401"/>
    <cellStyle name="Input [yellow] 15" xfId="2402"/>
    <cellStyle name="Input [yellow] 16" xfId="2403"/>
    <cellStyle name="Input [yellow] 2" xfId="2404"/>
    <cellStyle name="Input [yellow] 2 2" xfId="2405"/>
    <cellStyle name="Input [yellow] 3" xfId="2406"/>
    <cellStyle name="Input [yellow] 4" xfId="2407"/>
    <cellStyle name="Input [yellow] 5" xfId="2408"/>
    <cellStyle name="Input [yellow] 6" xfId="2409"/>
    <cellStyle name="Input [yellow] 7" xfId="2410"/>
    <cellStyle name="Input [yellow] 8" xfId="2411"/>
    <cellStyle name="Input [yellow] 9" xfId="2412"/>
    <cellStyle name="Input [yellow]_KH TPCP 2016-2020 (tong hop)" xfId="2413"/>
    <cellStyle name="Input 2" xfId="2414"/>
    <cellStyle name="Input 2 2" xfId="4800"/>
    <cellStyle name="Input 3" xfId="2415"/>
    <cellStyle name="Input 4" xfId="2416"/>
    <cellStyle name="Input 5" xfId="2417"/>
    <cellStyle name="Input 6" xfId="2418"/>
    <cellStyle name="Input 7" xfId="2419"/>
    <cellStyle name="k_TONG HOP KINH PHI" xfId="2420"/>
    <cellStyle name="k_TONG HOP KINH PHI_!1 1 bao cao giao KH ve HTCMT vung TNB   12-12-2011" xfId="2421"/>
    <cellStyle name="k_TONG HOP KINH PHI_Bieu4HTMT" xfId="2422"/>
    <cellStyle name="k_TONG HOP KINH PHI_Bieu4HTMT_!1 1 bao cao giao KH ve HTCMT vung TNB   12-12-2011" xfId="2423"/>
    <cellStyle name="k_TONG HOP KINH PHI_Bieu4HTMT_KH TPCP vung TNB (03-1-2012)" xfId="2424"/>
    <cellStyle name="k_TONG HOP KINH PHI_KH TPCP vung TNB (03-1-2012)" xfId="2425"/>
    <cellStyle name="k_ÿÿÿÿÿ" xfId="2426"/>
    <cellStyle name="k_ÿÿÿÿÿ_!1 1 bao cao giao KH ve HTCMT vung TNB   12-12-2011" xfId="2427"/>
    <cellStyle name="k_ÿÿÿÿÿ_1" xfId="2428"/>
    <cellStyle name="k_ÿÿÿÿÿ_2" xfId="2429"/>
    <cellStyle name="k_ÿÿÿÿÿ_2_!1 1 bao cao giao KH ve HTCMT vung TNB   12-12-2011" xfId="2430"/>
    <cellStyle name="k_ÿÿÿÿÿ_2_Bieu4HTMT" xfId="2431"/>
    <cellStyle name="k_ÿÿÿÿÿ_2_Bieu4HTMT_!1 1 bao cao giao KH ve HTCMT vung TNB   12-12-2011" xfId="2432"/>
    <cellStyle name="k_ÿÿÿÿÿ_2_Bieu4HTMT_KH TPCP vung TNB (03-1-2012)" xfId="2433"/>
    <cellStyle name="k_ÿÿÿÿÿ_2_KH TPCP vung TNB (03-1-2012)" xfId="2434"/>
    <cellStyle name="k_ÿÿÿÿÿ_Bieu4HTMT" xfId="2435"/>
    <cellStyle name="k_ÿÿÿÿÿ_Bieu4HTMT_!1 1 bao cao giao KH ve HTCMT vung TNB   12-12-2011" xfId="2436"/>
    <cellStyle name="k_ÿÿÿÿÿ_Bieu4HTMT_KH TPCP vung TNB (03-1-2012)" xfId="2437"/>
    <cellStyle name="k_ÿÿÿÿÿ_KH TPCP vung TNB (03-1-2012)" xfId="2438"/>
    <cellStyle name="Kiểu 1" xfId="4801"/>
    <cellStyle name="kh¸c_Bang Chi tieu" xfId="2439"/>
    <cellStyle name="khanh" xfId="2440"/>
    <cellStyle name="khung" xfId="2441"/>
    <cellStyle name="Ledger 17 x 11 in" xfId="2442"/>
    <cellStyle name="left" xfId="2443"/>
    <cellStyle name="Line" xfId="2444"/>
    <cellStyle name="Link Currency (0)" xfId="2445"/>
    <cellStyle name="Link Currency (0) 10" xfId="2446"/>
    <cellStyle name="Link Currency (0) 11" xfId="2447"/>
    <cellStyle name="Link Currency (0) 12" xfId="2448"/>
    <cellStyle name="Link Currency (0) 13" xfId="2449"/>
    <cellStyle name="Link Currency (0) 14" xfId="2450"/>
    <cellStyle name="Link Currency (0) 15" xfId="2451"/>
    <cellStyle name="Link Currency (0) 16" xfId="2452"/>
    <cellStyle name="Link Currency (0) 2" xfId="2453"/>
    <cellStyle name="Link Currency (0) 3" xfId="2454"/>
    <cellStyle name="Link Currency (0) 4" xfId="2455"/>
    <cellStyle name="Link Currency (0) 5" xfId="2456"/>
    <cellStyle name="Link Currency (0) 6" xfId="2457"/>
    <cellStyle name="Link Currency (0) 7" xfId="2458"/>
    <cellStyle name="Link Currency (0) 8" xfId="2459"/>
    <cellStyle name="Link Currency (0) 9" xfId="2460"/>
    <cellStyle name="Link Currency (2)" xfId="2461"/>
    <cellStyle name="Link Currency (2) 10" xfId="2462"/>
    <cellStyle name="Link Currency (2) 11" xfId="2463"/>
    <cellStyle name="Link Currency (2) 12" xfId="2464"/>
    <cellStyle name="Link Currency (2) 13" xfId="2465"/>
    <cellStyle name="Link Currency (2) 14" xfId="2466"/>
    <cellStyle name="Link Currency (2) 15" xfId="2467"/>
    <cellStyle name="Link Currency (2) 16" xfId="2468"/>
    <cellStyle name="Link Currency (2) 2" xfId="2469"/>
    <cellStyle name="Link Currency (2) 3" xfId="2470"/>
    <cellStyle name="Link Currency (2) 4" xfId="2471"/>
    <cellStyle name="Link Currency (2) 5" xfId="2472"/>
    <cellStyle name="Link Currency (2) 6" xfId="2473"/>
    <cellStyle name="Link Currency (2) 7" xfId="2474"/>
    <cellStyle name="Link Currency (2) 8" xfId="2475"/>
    <cellStyle name="Link Currency (2) 9" xfId="2476"/>
    <cellStyle name="Link Units (0)" xfId="2477"/>
    <cellStyle name="Link Units (0) 10" xfId="2478"/>
    <cellStyle name="Link Units (0) 11" xfId="2479"/>
    <cellStyle name="Link Units (0) 12" xfId="2480"/>
    <cellStyle name="Link Units (0) 13" xfId="2481"/>
    <cellStyle name="Link Units (0) 14" xfId="2482"/>
    <cellStyle name="Link Units (0) 15" xfId="2483"/>
    <cellStyle name="Link Units (0) 16" xfId="2484"/>
    <cellStyle name="Link Units (0) 2" xfId="2485"/>
    <cellStyle name="Link Units (0) 3" xfId="2486"/>
    <cellStyle name="Link Units (0) 4" xfId="2487"/>
    <cellStyle name="Link Units (0) 5" xfId="2488"/>
    <cellStyle name="Link Units (0) 6" xfId="2489"/>
    <cellStyle name="Link Units (0) 7" xfId="2490"/>
    <cellStyle name="Link Units (0) 8" xfId="2491"/>
    <cellStyle name="Link Units (0) 9" xfId="2492"/>
    <cellStyle name="Link Units (1)" xfId="2493"/>
    <cellStyle name="Link Units (1) 10" xfId="2494"/>
    <cellStyle name="Link Units (1) 11" xfId="2495"/>
    <cellStyle name="Link Units (1) 12" xfId="2496"/>
    <cellStyle name="Link Units (1) 13" xfId="2497"/>
    <cellStyle name="Link Units (1) 14" xfId="2498"/>
    <cellStyle name="Link Units (1) 15" xfId="2499"/>
    <cellStyle name="Link Units (1) 16" xfId="2500"/>
    <cellStyle name="Link Units (1) 2" xfId="2501"/>
    <cellStyle name="Link Units (1) 3" xfId="2502"/>
    <cellStyle name="Link Units (1) 4" xfId="2503"/>
    <cellStyle name="Link Units (1) 5" xfId="2504"/>
    <cellStyle name="Link Units (1) 6" xfId="2505"/>
    <cellStyle name="Link Units (1) 7" xfId="2506"/>
    <cellStyle name="Link Units (1) 8" xfId="2507"/>
    <cellStyle name="Link Units (1) 9" xfId="2508"/>
    <cellStyle name="Link Units (2)" xfId="2509"/>
    <cellStyle name="Link Units (2) 10" xfId="2510"/>
    <cellStyle name="Link Units (2) 11" xfId="2511"/>
    <cellStyle name="Link Units (2) 12" xfId="2512"/>
    <cellStyle name="Link Units (2) 13" xfId="2513"/>
    <cellStyle name="Link Units (2) 14" xfId="2514"/>
    <cellStyle name="Link Units (2) 15" xfId="2515"/>
    <cellStyle name="Link Units (2) 16" xfId="2516"/>
    <cellStyle name="Link Units (2) 2" xfId="2517"/>
    <cellStyle name="Link Units (2) 3" xfId="2518"/>
    <cellStyle name="Link Units (2) 4" xfId="2519"/>
    <cellStyle name="Link Units (2) 5" xfId="2520"/>
    <cellStyle name="Link Units (2) 6" xfId="2521"/>
    <cellStyle name="Link Units (2) 7" xfId="2522"/>
    <cellStyle name="Link Units (2) 8" xfId="2523"/>
    <cellStyle name="Link Units (2) 9" xfId="2524"/>
    <cellStyle name="Linked Cell 2" xfId="2525"/>
    <cellStyle name="Loai CBDT" xfId="2526"/>
    <cellStyle name="Loai CT" xfId="2527"/>
    <cellStyle name="Loai GD" xfId="2528"/>
    <cellStyle name="MAU" xfId="2529"/>
    <cellStyle name="MAU 2" xfId="2530"/>
    <cellStyle name="Millares [0]_Well Timing" xfId="2531"/>
    <cellStyle name="Millares_Well Timing" xfId="2532"/>
    <cellStyle name="Milliers [0]_      " xfId="2533"/>
    <cellStyle name="Milliers_      " xfId="2534"/>
    <cellStyle name="Model" xfId="2535"/>
    <cellStyle name="Model 2" xfId="2536"/>
    <cellStyle name="moi" xfId="2537"/>
    <cellStyle name="moi 2" xfId="2538"/>
    <cellStyle name="moi 3" xfId="2539"/>
    <cellStyle name="Moneda [0]_Well Timing" xfId="2540"/>
    <cellStyle name="Moneda_Well Timing" xfId="2541"/>
    <cellStyle name="Monétaire [0]_      " xfId="2542"/>
    <cellStyle name="Monétaire_      " xfId="2543"/>
    <cellStyle name="n" xfId="2544"/>
    <cellStyle name="Neutral 2" xfId="2545"/>
    <cellStyle name="Neutral 2 2" xfId="4802"/>
    <cellStyle name="New" xfId="2546"/>
    <cellStyle name="New Times Roman" xfId="2547"/>
    <cellStyle name="no dec" xfId="2548"/>
    <cellStyle name="no dec 2" xfId="2549"/>
    <cellStyle name="no dec 2 2" xfId="2550"/>
    <cellStyle name="ÑONVÒ" xfId="2551"/>
    <cellStyle name="ÑONVÒ 2" xfId="2552"/>
    <cellStyle name="Normal" xfId="0" builtinId="0"/>
    <cellStyle name="Normal - Style1" xfId="2553"/>
    <cellStyle name="Normal - Style1 2" xfId="2554"/>
    <cellStyle name="Normal - Style1 2 2" xfId="4804"/>
    <cellStyle name="Normal - Style1 2 3" xfId="4805"/>
    <cellStyle name="Normal - Style1 2 4" xfId="4803"/>
    <cellStyle name="Normal - Style1 3" xfId="2555"/>
    <cellStyle name="Normal - Style1 4" xfId="4806"/>
    <cellStyle name="Normal - Style1_KH TPCP 2016-2020 (tong hop)" xfId="2556"/>
    <cellStyle name="Normal - 유형1" xfId="2557"/>
    <cellStyle name="Normal 10" xfId="20"/>
    <cellStyle name="Normal 10 2" xfId="21"/>
    <cellStyle name="Normal 10 2 2" xfId="4272"/>
    <cellStyle name="Normal 10 3" xfId="2558"/>
    <cellStyle name="Normal 10 3 2" xfId="2559"/>
    <cellStyle name="Normal 10 3 3" xfId="4807"/>
    <cellStyle name="Normal 10 4" xfId="2560"/>
    <cellStyle name="Normal 10 5" xfId="2561"/>
    <cellStyle name="Normal 10 6" xfId="2562"/>
    <cellStyle name="Normal 10 7" xfId="4259"/>
    <cellStyle name="Normal 10_05-12  KH trung han 2016-2020 - Liem Thinh edited" xfId="2563"/>
    <cellStyle name="Normal 11" xfId="2564"/>
    <cellStyle name="Normal 11 2" xfId="2565"/>
    <cellStyle name="Normal 11 2 2" xfId="2566"/>
    <cellStyle name="Normal 11 3" xfId="2567"/>
    <cellStyle name="Normal 11 3 2" xfId="2568"/>
    <cellStyle name="Normal 11 3 3" xfId="2569"/>
    <cellStyle name="Normal 11 3 4" xfId="22"/>
    <cellStyle name="Normal 11 4" xfId="4808"/>
    <cellStyle name="Normal 12" xfId="2570"/>
    <cellStyle name="Normal 12 2" xfId="2571"/>
    <cellStyle name="Normal 12 2 2" xfId="4809"/>
    <cellStyle name="Normal 12 3" xfId="2572"/>
    <cellStyle name="Normal 12 3 2" xfId="4810"/>
    <cellStyle name="Normal 13" xfId="2573"/>
    <cellStyle name="Normal 13 2" xfId="2574"/>
    <cellStyle name="Normal 14" xfId="2575"/>
    <cellStyle name="Normal 14 2" xfId="2576"/>
    <cellStyle name="Normal 14 3" xfId="2577"/>
    <cellStyle name="Normal 14 3 2" xfId="4811"/>
    <cellStyle name="Normal 14 4" xfId="4812"/>
    <cellStyle name="Normal 14 5" xfId="4813"/>
    <cellStyle name="Normal 15" xfId="2578"/>
    <cellStyle name="Normal 15 2" xfId="2579"/>
    <cellStyle name="Normal 15 3" xfId="2580"/>
    <cellStyle name="Normal 16" xfId="2581"/>
    <cellStyle name="Normal 16 2" xfId="2582"/>
    <cellStyle name="Normal 16 2 2" xfId="2583"/>
    <cellStyle name="Normal 16 2 2 2" xfId="2584"/>
    <cellStyle name="Normal 16 2 3" xfId="2585"/>
    <cellStyle name="Normal 16 2 3 2" xfId="2586"/>
    <cellStyle name="Normal 16 2 4" xfId="2587"/>
    <cellStyle name="Normal 16 2 5" xfId="4814"/>
    <cellStyle name="Normal 16 3" xfId="2588"/>
    <cellStyle name="Normal 16 4" xfId="2589"/>
    <cellStyle name="Normal 16 4 2" xfId="2590"/>
    <cellStyle name="Normal 16 5" xfId="2591"/>
    <cellStyle name="Normal 16 5 2" xfId="2592"/>
    <cellStyle name="Normal 17" xfId="2593"/>
    <cellStyle name="Normal 17 2" xfId="2594"/>
    <cellStyle name="Normal 17 2 2" xfId="4815"/>
    <cellStyle name="Normal 17 3 2" xfId="2595"/>
    <cellStyle name="Normal 17 3 2 2" xfId="2596"/>
    <cellStyle name="Normal 17 3 2 2 2" xfId="2597"/>
    <cellStyle name="Normal 17 3 2 3" xfId="2598"/>
    <cellStyle name="Normal 17 3 2 3 2" xfId="2599"/>
    <cellStyle name="Normal 17 3 2 4" xfId="2600"/>
    <cellStyle name="Normal 18" xfId="2601"/>
    <cellStyle name="Normal 18 2" xfId="2602"/>
    <cellStyle name="Normal 18 2 2" xfId="2603"/>
    <cellStyle name="Normal 18 3" xfId="2604"/>
    <cellStyle name="Normal 18 3 2" xfId="4816"/>
    <cellStyle name="Normal 18 4" xfId="4817"/>
    <cellStyle name="Normal 18_05-12  KH trung han 2016-2020 - Liem Thinh edited" xfId="2605"/>
    <cellStyle name="Normal 19" xfId="2606"/>
    <cellStyle name="Normal 19 2" xfId="2607"/>
    <cellStyle name="Normal 19 2 2" xfId="4819"/>
    <cellStyle name="Normal 19 3" xfId="2608"/>
    <cellStyle name="Normal 19 3 2" xfId="4820"/>
    <cellStyle name="Normal 19 4" xfId="4818"/>
    <cellStyle name="Normal 2" xfId="10"/>
    <cellStyle name="Normal 2 10" xfId="2609"/>
    <cellStyle name="Normal 2 10 2" xfId="2610"/>
    <cellStyle name="Normal 2 11" xfId="2611"/>
    <cellStyle name="Normal 2 11 2" xfId="2612"/>
    <cellStyle name="Normal 2 12" xfId="2613"/>
    <cellStyle name="Normal 2 12 2" xfId="2614"/>
    <cellStyle name="Normal 2 13" xfId="2615"/>
    <cellStyle name="Normal 2 13 2" xfId="2616"/>
    <cellStyle name="Normal 2 14" xfId="2617"/>
    <cellStyle name="Normal 2 14 2" xfId="2618"/>
    <cellStyle name="Normal 2 14 2 2" xfId="4822"/>
    <cellStyle name="Normal 2 14 3" xfId="4823"/>
    <cellStyle name="Normal 2 14_Phuongangiao 1-giaoxulykythuat" xfId="2619"/>
    <cellStyle name="Normal 2 15" xfId="2620"/>
    <cellStyle name="Normal 2 16" xfId="2621"/>
    <cellStyle name="Normal 2 17" xfId="2622"/>
    <cellStyle name="Normal 2 18" xfId="2623"/>
    <cellStyle name="Normal 2 19" xfId="2624"/>
    <cellStyle name="Normal 2 2" xfId="11"/>
    <cellStyle name="Normal 2 2 10" xfId="2625"/>
    <cellStyle name="Normal 2 2 10 2" xfId="2626"/>
    <cellStyle name="Normal 2 2 11" xfId="2627"/>
    <cellStyle name="Normal 2 2 12" xfId="2628"/>
    <cellStyle name="Normal 2 2 13" xfId="2629"/>
    <cellStyle name="Normal 2 2 14" xfId="2630"/>
    <cellStyle name="Normal 2 2 15" xfId="2631"/>
    <cellStyle name="Normal 2 2 2" xfId="2632"/>
    <cellStyle name="Normal 2 2 2 2" xfId="2633"/>
    <cellStyle name="Normal 2 2 2 3" xfId="2634"/>
    <cellStyle name="Normal 2 2 2 4" xfId="4824"/>
    <cellStyle name="Normal 2 2 3" xfId="2635"/>
    <cellStyle name="Normal 2 2 4" xfId="2636"/>
    <cellStyle name="Normal 2 2 4 2" xfId="2637"/>
    <cellStyle name="Normal 2 2 4 2 2" xfId="4825"/>
    <cellStyle name="Normal 2 2 4 3" xfId="2638"/>
    <cellStyle name="Normal 2 2 4 3 2" xfId="4826"/>
    <cellStyle name="Normal 2 2 5" xfId="2639"/>
    <cellStyle name="Normal 2 2 5 2" xfId="4827"/>
    <cellStyle name="Normal 2 2 6" xfId="2640"/>
    <cellStyle name="Normal 2 2 7" xfId="2641"/>
    <cellStyle name="Normal 2 2 8" xfId="2642"/>
    <cellStyle name="Normal 2 2 9" xfId="2643"/>
    <cellStyle name="Normal 2 2_Bieu chi tiet tang quy mo, dch ky thuat 4" xfId="2644"/>
    <cellStyle name="Normal 2 20" xfId="2645"/>
    <cellStyle name="Normal 2 21" xfId="2646"/>
    <cellStyle name="Normal 2 22" xfId="2647"/>
    <cellStyle name="Normal 2 22 2" xfId="4828"/>
    <cellStyle name="Normal 2 23" xfId="2648"/>
    <cellStyle name="Normal 2 24" xfId="2649"/>
    <cellStyle name="Normal 2 25" xfId="2650"/>
    <cellStyle name="Normal 2 26" xfId="2651"/>
    <cellStyle name="Normal 2 26 2" xfId="2652"/>
    <cellStyle name="Normal 2 27" xfId="2653"/>
    <cellStyle name="Normal 2 27 2" xfId="4829"/>
    <cellStyle name="Normal 2 28" xfId="4830"/>
    <cellStyle name="Normal 2 28 2" xfId="4831"/>
    <cellStyle name="Normal 2 29" xfId="4832"/>
    <cellStyle name="Normal 2 3" xfId="4"/>
    <cellStyle name="Normal 2 3 2" xfId="2654"/>
    <cellStyle name="Normal 2 3 2 2" xfId="2655"/>
    <cellStyle name="Normal 2 3 3" xfId="2656"/>
    <cellStyle name="Normal 2 3 3 2" xfId="4833"/>
    <cellStyle name="Normal 2 3 4" xfId="4834"/>
    <cellStyle name="Normal 2 3_74847_80640" xfId="4835"/>
    <cellStyle name="Normal 2 30" xfId="4836"/>
    <cellStyle name="Normal 2 31" xfId="4837"/>
    <cellStyle name="Normal 2 32" xfId="2657"/>
    <cellStyle name="Normal 2 33" xfId="4838"/>
    <cellStyle name="Normal 2 34" xfId="4839"/>
    <cellStyle name="Normal 2 35" xfId="4840"/>
    <cellStyle name="Normal 2 36" xfId="4841"/>
    <cellStyle name="Normal 2 37" xfId="4842"/>
    <cellStyle name="Normal 2 38" xfId="4843"/>
    <cellStyle name="Normal 2 39" xfId="4844"/>
    <cellStyle name="Normal 2 4" xfId="2658"/>
    <cellStyle name="Normal 2 4 2" xfId="2659"/>
    <cellStyle name="Normal 2 4 2 2" xfId="2660"/>
    <cellStyle name="Normal 2 4 2 2 2" xfId="4846"/>
    <cellStyle name="Normal 2 4 3" xfId="2661"/>
    <cellStyle name="Normal 2 4 3 2" xfId="2662"/>
    <cellStyle name="Normal 2 4 4" xfId="4847"/>
    <cellStyle name="Normal 2 4 4 2" xfId="4848"/>
    <cellStyle name="Normal 2 4 5" xfId="4845"/>
    <cellStyle name="Normal 2 40" xfId="4849"/>
    <cellStyle name="Normal 2 41" xfId="4850"/>
    <cellStyle name="Normal 2 42" xfId="4851"/>
    <cellStyle name="Normal 2 43" xfId="4852"/>
    <cellStyle name="Normal 2 44" xfId="4853"/>
    <cellStyle name="Normal 2 45" xfId="4854"/>
    <cellStyle name="Normal 2 46" xfId="4855"/>
    <cellStyle name="Normal 2 47" xfId="4856"/>
    <cellStyle name="Normal 2 48" xfId="4857"/>
    <cellStyle name="Normal 2 49" xfId="4858"/>
    <cellStyle name="Normal 2 5" xfId="2663"/>
    <cellStyle name="Normal 2 5 2" xfId="2664"/>
    <cellStyle name="Normal 2 50" xfId="4859"/>
    <cellStyle name="Normal 2 51" xfId="4860"/>
    <cellStyle name="Normal 2 52" xfId="4861"/>
    <cellStyle name="Normal 2 53" xfId="4862"/>
    <cellStyle name="Normal 2 54" xfId="4863"/>
    <cellStyle name="Normal 2 55" xfId="4821"/>
    <cellStyle name="Normal 2 6" xfId="2665"/>
    <cellStyle name="Normal 2 6 2" xfId="2666"/>
    <cellStyle name="Normal 2 7" xfId="2667"/>
    <cellStyle name="Normal 2 7 2" xfId="2668"/>
    <cellStyle name="Normal 2 8" xfId="2669"/>
    <cellStyle name="Normal 2 8 2" xfId="2670"/>
    <cellStyle name="Normal 2 9" xfId="2671"/>
    <cellStyle name="Normal 2 9 2" xfId="2672"/>
    <cellStyle name="Normal 2_05-12  KH trung han 2016-2020 - Liem Thinh edited" xfId="2673"/>
    <cellStyle name="Normal 20" xfId="2674"/>
    <cellStyle name="Normal 20 2" xfId="2675"/>
    <cellStyle name="Normal 20 2 2" xfId="4864"/>
    <cellStyle name="Normal 20 3" xfId="4865"/>
    <cellStyle name="Normal 21" xfId="2676"/>
    <cellStyle name="Normal 21 2" xfId="2677"/>
    <cellStyle name="Normal 21 2 2" xfId="4866"/>
    <cellStyle name="Normal 21 3" xfId="4867"/>
    <cellStyle name="Normal 22" xfId="2678"/>
    <cellStyle name="Normal 22 2" xfId="2679"/>
    <cellStyle name="Normal 22 2 2" xfId="4274"/>
    <cellStyle name="Normal 23" xfId="2680"/>
    <cellStyle name="Normal 23 2" xfId="2681"/>
    <cellStyle name="Normal 23 2 2" xfId="4869"/>
    <cellStyle name="Normal 23 3" xfId="2682"/>
    <cellStyle name="Normal 23 4" xfId="4868"/>
    <cellStyle name="Normal 24" xfId="2683"/>
    <cellStyle name="Normal 24 2" xfId="2684"/>
    <cellStyle name="Normal 24 2 2" xfId="2685"/>
    <cellStyle name="Normal 24 2 3" xfId="4871"/>
    <cellStyle name="Normal 24 3" xfId="4872"/>
    <cellStyle name="Normal 24 4" xfId="4870"/>
    <cellStyle name="Normal 25" xfId="2686"/>
    <cellStyle name="Normal 25 2" xfId="2687"/>
    <cellStyle name="Normal 25 2 2" xfId="4874"/>
    <cellStyle name="Normal 25 3" xfId="2688"/>
    <cellStyle name="Normal 25 3 2" xfId="4875"/>
    <cellStyle name="Normal 25 4" xfId="4873"/>
    <cellStyle name="Normal 26" xfId="2689"/>
    <cellStyle name="Normal 26 2" xfId="2690"/>
    <cellStyle name="Normal 26 2 2" xfId="4877"/>
    <cellStyle name="Normal 26 3" xfId="4878"/>
    <cellStyle name="Normal 26 4" xfId="4876"/>
    <cellStyle name="Normal 27" xfId="2691"/>
    <cellStyle name="Normal 27 2" xfId="2692"/>
    <cellStyle name="Normal 27 2 2" xfId="4880"/>
    <cellStyle name="Normal 27 3" xfId="4881"/>
    <cellStyle name="Normal 27 4" xfId="4882"/>
    <cellStyle name="Normal 27 5" xfId="4879"/>
    <cellStyle name="Normal 28" xfId="2693"/>
    <cellStyle name="Normal 28 2" xfId="2694"/>
    <cellStyle name="Normal 28 2 2" xfId="4883"/>
    <cellStyle name="Normal 28 2 3" xfId="4273"/>
    <cellStyle name="Normal 29" xfId="2695"/>
    <cellStyle name="Normal 29 2" xfId="2696"/>
    <cellStyle name="Normal 29 3" xfId="4884"/>
    <cellStyle name="Normal 3" xfId="12"/>
    <cellStyle name="Normal 3 10" xfId="2697"/>
    <cellStyle name="Normal 3 11" xfId="2698"/>
    <cellStyle name="Normal 3 12" xfId="2699"/>
    <cellStyle name="Normal 3 13" xfId="2700"/>
    <cellStyle name="Normal 3 14" xfId="2701"/>
    <cellStyle name="Normal 3 15" xfId="2702"/>
    <cellStyle name="Normal 3 16" xfId="2703"/>
    <cellStyle name="Normal 3 17" xfId="2704"/>
    <cellStyle name="Normal 3 18" xfId="2705"/>
    <cellStyle name="Normal 3 2" xfId="2706"/>
    <cellStyle name="Normal 3 2 2" xfId="2707"/>
    <cellStyle name="Normal 3 2 2 2" xfId="2708"/>
    <cellStyle name="Normal 3 2 2_BieuMauKH" xfId="4886"/>
    <cellStyle name="Normal 3 2 3" xfId="2709"/>
    <cellStyle name="Normal 3 2 3 2" xfId="2710"/>
    <cellStyle name="Normal 3 2 4" xfId="2711"/>
    <cellStyle name="Normal 3 2 5" xfId="2712"/>
    <cellStyle name="Normal 3 2 5 2" xfId="2713"/>
    <cellStyle name="Normal 3 2 6" xfId="2714"/>
    <cellStyle name="Normal 3 2 6 2" xfId="2715"/>
    <cellStyle name="Normal 3 2 7" xfId="2716"/>
    <cellStyle name="Normal 3 2 8" xfId="4885"/>
    <cellStyle name="Normal 3 2_BieuMauKH" xfId="4887"/>
    <cellStyle name="Normal 3 3" xfId="2717"/>
    <cellStyle name="Normal 3 3 2" xfId="2718"/>
    <cellStyle name="Normal 3 4" xfId="2719"/>
    <cellStyle name="Normal 3 4 2" xfId="2720"/>
    <cellStyle name="Normal 3 5" xfId="2721"/>
    <cellStyle name="Normal 3 6" xfId="2722"/>
    <cellStyle name="Normal 3 7" xfId="2723"/>
    <cellStyle name="Normal 3 8" xfId="2724"/>
    <cellStyle name="Normal 3 9" xfId="2725"/>
    <cellStyle name="Normal 3_Bieu TH TPCP Vung TNB ngay 4-1-2012" xfId="2726"/>
    <cellStyle name="Normal 30" xfId="2727"/>
    <cellStyle name="Normal 30 2" xfId="2728"/>
    <cellStyle name="Normal 30 2 2" xfId="2729"/>
    <cellStyle name="Normal 30 2 3" xfId="4889"/>
    <cellStyle name="Normal 30 3" xfId="2730"/>
    <cellStyle name="Normal 30 3 2" xfId="2731"/>
    <cellStyle name="Normal 30 3 3" xfId="4890"/>
    <cellStyle name="Normal 30 4" xfId="2732"/>
    <cellStyle name="Normal 30 5" xfId="4888"/>
    <cellStyle name="Normal 31" xfId="2733"/>
    <cellStyle name="Normal 31 2" xfId="2734"/>
    <cellStyle name="Normal 31 2 2" xfId="2735"/>
    <cellStyle name="Normal 31 2 3" xfId="4892"/>
    <cellStyle name="Normal 31 3" xfId="2736"/>
    <cellStyle name="Normal 31 3 2" xfId="2737"/>
    <cellStyle name="Normal 31 3 3" xfId="4893"/>
    <cellStyle name="Normal 31 4" xfId="2738"/>
    <cellStyle name="Normal 31 5" xfId="4891"/>
    <cellStyle name="Normal 32" xfId="2739"/>
    <cellStyle name="Normal 32 2" xfId="2740"/>
    <cellStyle name="Normal 32 2 2" xfId="2741"/>
    <cellStyle name="Normal 32 3" xfId="4894"/>
    <cellStyle name="Normal 33" xfId="2742"/>
    <cellStyle name="Normal 33 2" xfId="2743"/>
    <cellStyle name="Normal 33 3" xfId="4895"/>
    <cellStyle name="Normal 34" xfId="2744"/>
    <cellStyle name="Normal 34 2" xfId="4897"/>
    <cellStyle name="Normal 34 3" xfId="4896"/>
    <cellStyle name="Normal 35" xfId="2745"/>
    <cellStyle name="Normal 35 2" xfId="4898"/>
    <cellStyle name="Normal 36" xfId="2746"/>
    <cellStyle name="Normal 36 2" xfId="4899"/>
    <cellStyle name="Normal 37" xfId="2747"/>
    <cellStyle name="Normal 37 2" xfId="2748"/>
    <cellStyle name="Normal 37 2 2" xfId="2749"/>
    <cellStyle name="Normal 37 2 3" xfId="2750"/>
    <cellStyle name="Normal 37 2 4" xfId="4901"/>
    <cellStyle name="Normal 37 3" xfId="2751"/>
    <cellStyle name="Normal 37 3 2" xfId="2752"/>
    <cellStyle name="Normal 37 4" xfId="2753"/>
    <cellStyle name="Normal 37 5" xfId="4900"/>
    <cellStyle name="Normal 38" xfId="2754"/>
    <cellStyle name="Normal 38 2" xfId="2755"/>
    <cellStyle name="Normal 38 2 2" xfId="2756"/>
    <cellStyle name="Normal 38 3" xfId="4902"/>
    <cellStyle name="Normal 39" xfId="2757"/>
    <cellStyle name="Normal 39 2" xfId="2758"/>
    <cellStyle name="Normal 39 2 2" xfId="2759"/>
    <cellStyle name="Normal 39 2 3" xfId="4904"/>
    <cellStyle name="Normal 39 3" xfId="2760"/>
    <cellStyle name="Normal 39 3 2" xfId="2761"/>
    <cellStyle name="Normal 39 4" xfId="4903"/>
    <cellStyle name="Normal 4" xfId="13"/>
    <cellStyle name="Normal 4 10" xfId="2762"/>
    <cellStyle name="Normal 4 11" xfId="2763"/>
    <cellStyle name="Normal 4 12" xfId="2764"/>
    <cellStyle name="Normal 4 13" xfId="2765"/>
    <cellStyle name="Normal 4 14" xfId="2766"/>
    <cellStyle name="Normal 4 15" xfId="2767"/>
    <cellStyle name="Normal 4 16" xfId="2768"/>
    <cellStyle name="Normal 4 17" xfId="2769"/>
    <cellStyle name="Normal 4 2" xfId="14"/>
    <cellStyle name="Normal 4 2 2" xfId="2770"/>
    <cellStyle name="Normal 4 2 2 2" xfId="4905"/>
    <cellStyle name="Normal 4 3" xfId="2771"/>
    <cellStyle name="Normal 4 3 2" xfId="4907"/>
    <cellStyle name="Normal 4 3 3" xfId="4906"/>
    <cellStyle name="Normal 4 4" xfId="2772"/>
    <cellStyle name="Normal 4 5" xfId="2773"/>
    <cellStyle name="Normal 4 6" xfId="2774"/>
    <cellStyle name="Normal 4 7" xfId="2775"/>
    <cellStyle name="Normal 4 8" xfId="2776"/>
    <cellStyle name="Normal 4 9" xfId="2777"/>
    <cellStyle name="Normal 4_57907_63310(1)" xfId="4908"/>
    <cellStyle name="Normal 40" xfId="2778"/>
    <cellStyle name="Normal 40 2" xfId="4909"/>
    <cellStyle name="Normal 41" xfId="2779"/>
    <cellStyle name="Normal 41 2" xfId="4910"/>
    <cellStyle name="Normal 42" xfId="2780"/>
    <cellStyle name="Normal 42 2" xfId="4911"/>
    <cellStyle name="Normal 43" xfId="2781"/>
    <cellStyle name="Normal 43 2" xfId="4912"/>
    <cellStyle name="Normal 44" xfId="2782"/>
    <cellStyle name="Normal 44 2" xfId="4913"/>
    <cellStyle name="Normal 45" xfId="2783"/>
    <cellStyle name="Normal 45 2" xfId="4914"/>
    <cellStyle name="Normal 46" xfId="2784"/>
    <cellStyle name="Normal 46 2" xfId="2785"/>
    <cellStyle name="Normal 46 3" xfId="4915"/>
    <cellStyle name="Normal 47" xfId="2786"/>
    <cellStyle name="Normal 47 2" xfId="4916"/>
    <cellStyle name="Normal 48" xfId="2787"/>
    <cellStyle name="Normal 48 2" xfId="4917"/>
    <cellStyle name="Normal 49" xfId="2788"/>
    <cellStyle name="Normal 49 2" xfId="4918"/>
    <cellStyle name="Normal 5" xfId="15"/>
    <cellStyle name="Normal 5 2" xfId="2789"/>
    <cellStyle name="Normal 5 2 2" xfId="2790"/>
    <cellStyle name="Normal 5 2 2 2" xfId="4919"/>
    <cellStyle name="Normal 5 3" xfId="4920"/>
    <cellStyle name="Normal 50" xfId="2791"/>
    <cellStyle name="Normal 50 2" xfId="4921"/>
    <cellStyle name="Normal 51" xfId="2792"/>
    <cellStyle name="Normal 51 2" xfId="4922"/>
    <cellStyle name="Normal 52" xfId="2793"/>
    <cellStyle name="Normal 52 2" xfId="4923"/>
    <cellStyle name="Normal 53" xfId="2794"/>
    <cellStyle name="Normal 53 2" xfId="4924"/>
    <cellStyle name="Normal 54" xfId="2795"/>
    <cellStyle name="Normal 54 2" xfId="4925"/>
    <cellStyle name="Normal 55" xfId="4258"/>
    <cellStyle name="Normal 55 2" xfId="4926"/>
    <cellStyle name="Normal 56" xfId="4276"/>
    <cellStyle name="Normal 56 2" xfId="4928"/>
    <cellStyle name="Normal 56 3" xfId="4927"/>
    <cellStyle name="Normal 57" xfId="4929"/>
    <cellStyle name="Normal 58" xfId="4930"/>
    <cellStyle name="Normal 59" xfId="4931"/>
    <cellStyle name="Normal 6" xfId="16"/>
    <cellStyle name="Normal 6 10" xfId="2796"/>
    <cellStyle name="Normal 6 11" xfId="2797"/>
    <cellStyle name="Normal 6 12" xfId="2798"/>
    <cellStyle name="Normal 6 13" xfId="2799"/>
    <cellStyle name="Normal 6 14" xfId="2800"/>
    <cellStyle name="Normal 6 15" xfId="2801"/>
    <cellStyle name="Normal 6 16" xfId="2802"/>
    <cellStyle name="Normal 6 2" xfId="2803"/>
    <cellStyle name="Normal 6 2 2" xfId="2804"/>
    <cellStyle name="Normal 6 2 2 2" xfId="4932"/>
    <cellStyle name="Normal 6 2 3" xfId="4933"/>
    <cellStyle name="Normal 6 3" xfId="2805"/>
    <cellStyle name="Normal 6 3 2" xfId="4934"/>
    <cellStyle name="Normal 6 4" xfId="2806"/>
    <cellStyle name="Normal 6 5" xfId="2807"/>
    <cellStyle name="Normal 6 6" xfId="2808"/>
    <cellStyle name="Normal 6 7" xfId="2809"/>
    <cellStyle name="Normal 6 8" xfId="2810"/>
    <cellStyle name="Normal 6 9" xfId="2811"/>
    <cellStyle name="Normal 6_TPCP trinh UBND ngay 27-12" xfId="2812"/>
    <cellStyle name="Normal 60" xfId="4935"/>
    <cellStyle name="Normal 61" xfId="4936"/>
    <cellStyle name="Normal 62" xfId="4937"/>
    <cellStyle name="Normal 63" xfId="4938"/>
    <cellStyle name="Normal 64" xfId="4939"/>
    <cellStyle name="Normal 65" xfId="4940"/>
    <cellStyle name="Normal 66" xfId="4941"/>
    <cellStyle name="Normal 67" xfId="4942"/>
    <cellStyle name="Normal 68" xfId="4943"/>
    <cellStyle name="Normal 69" xfId="4944"/>
    <cellStyle name="Normal 7" xfId="17"/>
    <cellStyle name="Normal 7 2" xfId="2813"/>
    <cellStyle name="Normal 7 2 2" xfId="4945"/>
    <cellStyle name="Normal 7 2 3" xfId="4946"/>
    <cellStyle name="Normal 7 3" xfId="2814"/>
    <cellStyle name="Normal 7 3 2" xfId="2815"/>
    <cellStyle name="Normal 7 3 2 2" xfId="4947"/>
    <cellStyle name="Normal 7 3 3" xfId="2816"/>
    <cellStyle name="Normal 7 4" xfId="4948"/>
    <cellStyle name="Normal 7 5" xfId="4949"/>
    <cellStyle name="Normal 7_!1 1 bao cao giao KH ve HTCMT vung TNB   12-12-2011" xfId="2817"/>
    <cellStyle name="Normal 70" xfId="4950"/>
    <cellStyle name="Normal 71" xfId="4951"/>
    <cellStyle name="Normal 72" xfId="4952"/>
    <cellStyle name="Normal 73" xfId="4953"/>
    <cellStyle name="Normal 74" xfId="4954"/>
    <cellStyle name="Normal 75" xfId="4955"/>
    <cellStyle name="Normal 76" xfId="4956"/>
    <cellStyle name="Normal 77" xfId="4957"/>
    <cellStyle name="Normal 78" xfId="4958"/>
    <cellStyle name="Normal 79" xfId="4959"/>
    <cellStyle name="Normal 8" xfId="18"/>
    <cellStyle name="Normal 8 2" xfId="2818"/>
    <cellStyle name="Normal 8 2 2" xfId="2819"/>
    <cellStyle name="Normal 8 2 2 2" xfId="2820"/>
    <cellStyle name="Normal 8 2 2 2 2" xfId="4960"/>
    <cellStyle name="Normal 8 2 3" xfId="2821"/>
    <cellStyle name="Normal 8 2 3 2" xfId="4961"/>
    <cellStyle name="Normal 8 2_Phuongangiao 1-giaoxulykythuat" xfId="2822"/>
    <cellStyle name="Normal 8 3" xfId="2823"/>
    <cellStyle name="Normal 8 3 2" xfId="4962"/>
    <cellStyle name="Normal 8 4" xfId="4963"/>
    <cellStyle name="Normal 8 5" xfId="4964"/>
    <cellStyle name="Normal 8_Bieu6(JICA)" xfId="4965"/>
    <cellStyle name="Normal 80" xfId="4966"/>
    <cellStyle name="Normal 81" xfId="4967"/>
    <cellStyle name="Normal 82" xfId="4968"/>
    <cellStyle name="Normal 83" xfId="4969"/>
    <cellStyle name="Normal 84" xfId="4970"/>
    <cellStyle name="Normal 85" xfId="4971"/>
    <cellStyle name="Normal 86" xfId="4972"/>
    <cellStyle name="Normal 87" xfId="4973"/>
    <cellStyle name="Normal 88" xfId="4974"/>
    <cellStyle name="Normal 89" xfId="4975"/>
    <cellStyle name="Normal 9" xfId="2"/>
    <cellStyle name="Normal 9 10" xfId="2824"/>
    <cellStyle name="Normal 9 12" xfId="2825"/>
    <cellStyle name="Normal 9 13" xfId="2826"/>
    <cellStyle name="Normal 9 17" xfId="2827"/>
    <cellStyle name="Normal 9 2" xfId="2828"/>
    <cellStyle name="Normal 9 2 2" xfId="4976"/>
    <cellStyle name="Normal 9 21" xfId="2829"/>
    <cellStyle name="Normal 9 23" xfId="2830"/>
    <cellStyle name="Normal 9 3" xfId="2831"/>
    <cellStyle name="Normal 9 46" xfId="2832"/>
    <cellStyle name="Normal 9 47" xfId="2833"/>
    <cellStyle name="Normal 9 48" xfId="2834"/>
    <cellStyle name="Normal 9 49" xfId="2835"/>
    <cellStyle name="Normal 9 50" xfId="2836"/>
    <cellStyle name="Normal 9 51" xfId="2837"/>
    <cellStyle name="Normal 9 52" xfId="2838"/>
    <cellStyle name="Normal 9_Bieu KH trung han BKH TW" xfId="2839"/>
    <cellStyle name="Normal 90" xfId="4977"/>
    <cellStyle name="Normal 91" xfId="4978"/>
    <cellStyle name="Normal 92" xfId="4277"/>
    <cellStyle name="Normal_09 05 13 TH nguon KF thuc hien NQ 30a 2" xfId="4268"/>
    <cellStyle name="Normal_Bieu mau (CV )" xfId="1"/>
    <cellStyle name="Normal_Bieu mau (CV ) 2" xfId="3"/>
    <cellStyle name="Normal_Bieu nhu cau bo tri  TPCP- 2010 -TH" xfId="4275"/>
    <cellStyle name="Normal_Sheet1" xfId="4265"/>
    <cellStyle name="Normal_Sheet2" xfId="4263"/>
    <cellStyle name="Normal1" xfId="2840"/>
    <cellStyle name="Normal8" xfId="2841"/>
    <cellStyle name="Normalny_Cennik obowiazuje od 06-08-2001 r (1)" xfId="2842"/>
    <cellStyle name="Note 2" xfId="2843"/>
    <cellStyle name="Note 2 2" xfId="2844"/>
    <cellStyle name="Note 3" xfId="2845"/>
    <cellStyle name="Note 3 2" xfId="2846"/>
    <cellStyle name="Note 4" xfId="2847"/>
    <cellStyle name="Note 4 2" xfId="2848"/>
    <cellStyle name="Note 5" xfId="2849"/>
    <cellStyle name="NWM" xfId="2850"/>
    <cellStyle name="nga" xfId="2851"/>
    <cellStyle name="Ò_x000a_Normal_123569" xfId="2852"/>
    <cellStyle name="Ò_x000d_Normal_123569" xfId="2853"/>
    <cellStyle name="Ò_x005f_x000d_Normal_123569" xfId="2854"/>
    <cellStyle name="Ò_x005f_x005f_x005f_x000d_Normal_123569" xfId="2855"/>
    <cellStyle name="Œ…‹æØ‚è [0.00]_ÆÂ¹²" xfId="2856"/>
    <cellStyle name="Œ…‹æØ‚è_laroux" xfId="2857"/>
    <cellStyle name="oft Excel]_x000a__x000a_Comment=open=/f ‚ðw’è‚·‚é‚ÆAƒ†[ƒU[’è‹`ŠÖ”‚ðŠÖ”“\‚è•t‚¯‚Ìˆê——‚É“o˜^‚·‚é‚±‚Æ‚ª‚Å‚«‚Ü‚·B_x000a__x000a_Maximized" xfId="2858"/>
    <cellStyle name="oft Excel]_x000a__x000a_Comment=open=/f ‚ðŽw’è‚·‚é‚ÆAƒ†[ƒU[’è‹`ŠÖ”‚ðŠÖ”“\‚è•t‚¯‚Ìˆê——‚É“o˜^‚·‚é‚±‚Æ‚ª‚Å‚«‚Ü‚·B_x000a__x000a_Maximized" xfId="2859"/>
    <cellStyle name="oft Excel]_x000a__x000a_Comment=The open=/f lines load custom functions into the Paste Function list._x000a__x000a_Maximized=2_x000a__x000a_Basics=1_x000a__x000a_A" xfId="2860"/>
    <cellStyle name="oft Excel]_x000a__x000a_Comment=The open=/f lines load custom functions into the Paste Function list._x000a__x000a_Maximized=3_x000a__x000a_Basics=1_x000a__x000a_A" xfId="2861"/>
    <cellStyle name="oft Excel]_x000d__x000a_Comment=open=/f ‚ðw’è‚·‚é‚ÆAƒ†[ƒU[’è‹`ŠÖ”‚ðŠÖ”“\‚è•t‚¯‚Ìˆê——‚É“o˜^‚·‚é‚±‚Æ‚ª‚Å‚«‚Ü‚·B_x000d__x000a_Maximized" xfId="2862"/>
    <cellStyle name="oft Excel]_x000d__x000a_Comment=open=/f ‚ðŽw’è‚·‚é‚ÆAƒ†[ƒU[’è‹`ŠÖ”‚ðŠÖ”“\‚è•t‚¯‚Ìˆê——‚É“o˜^‚·‚é‚±‚Æ‚ª‚Å‚«‚Ü‚·B_x000d__x000a_Maximized" xfId="2863"/>
    <cellStyle name="oft Excel]_x000d__x000a_Comment=The open=/f lines load custom functions into the Paste Function list._x000d__x000a_Maximized=2_x000d__x000a_Basics=1_x000d__x000a_A" xfId="2864"/>
    <cellStyle name="oft Excel]_x000d__x000a_Comment=The open=/f lines load custom functions into the Paste Function list._x000d__x000a_Maximized=3_x000d__x000a_Basics=1_x000d__x000a_A" xfId="2865"/>
    <cellStyle name="oft Excel]_x005f_x000d__x005f_x000a_Comment=open=/f ‚ðw’è‚·‚é‚ÆAƒ†[ƒU[’è‹`ŠÖ”‚ðŠÖ”“\‚è•t‚¯‚Ìˆê——‚É“o˜^‚·‚é‚±‚Æ‚ª‚Å‚«‚Ü‚·B_x005f_x000d__x005f_x000a_Maximized" xfId="2866"/>
    <cellStyle name="omma [0]_Mktg Prog" xfId="2867"/>
    <cellStyle name="ormal_Sheet1_1" xfId="2868"/>
    <cellStyle name="Output 2" xfId="2869"/>
    <cellStyle name="p" xfId="2870"/>
    <cellStyle name="paint" xfId="2871"/>
    <cellStyle name="paint 2" xfId="2872"/>
    <cellStyle name="paint_05-12  KH trung han 2016-2020 - Liem Thinh edited" xfId="2873"/>
    <cellStyle name="Pattern" xfId="2874"/>
    <cellStyle name="Pattern 10" xfId="2875"/>
    <cellStyle name="Pattern 11" xfId="2876"/>
    <cellStyle name="Pattern 12" xfId="2877"/>
    <cellStyle name="Pattern 13" xfId="2878"/>
    <cellStyle name="Pattern 14" xfId="2879"/>
    <cellStyle name="Pattern 15" xfId="2880"/>
    <cellStyle name="Pattern 16" xfId="2881"/>
    <cellStyle name="Pattern 17" xfId="4979"/>
    <cellStyle name="Pattern 2" xfId="2882"/>
    <cellStyle name="Pattern 3" xfId="2883"/>
    <cellStyle name="Pattern 4" xfId="2884"/>
    <cellStyle name="Pattern 5" xfId="2885"/>
    <cellStyle name="Pattern 6" xfId="2886"/>
    <cellStyle name="Pattern 7" xfId="2887"/>
    <cellStyle name="Pattern 8" xfId="2888"/>
    <cellStyle name="Pattern 9" xfId="2889"/>
    <cellStyle name="per.style" xfId="2890"/>
    <cellStyle name="per.style 2" xfId="2891"/>
    <cellStyle name="Percent %" xfId="2892"/>
    <cellStyle name="Percent % Long Underline" xfId="2893"/>
    <cellStyle name="Percent %_Worksheet in  US Financial Statements Ref. Workbook - Single Co" xfId="2894"/>
    <cellStyle name="Percent (0)" xfId="2895"/>
    <cellStyle name="Percent (0) 10" xfId="2896"/>
    <cellStyle name="Percent (0) 11" xfId="2897"/>
    <cellStyle name="Percent (0) 12" xfId="2898"/>
    <cellStyle name="Percent (0) 13" xfId="2899"/>
    <cellStyle name="Percent (0) 14" xfId="2900"/>
    <cellStyle name="Percent (0) 15" xfId="2901"/>
    <cellStyle name="Percent (0) 2" xfId="2902"/>
    <cellStyle name="Percent (0) 3" xfId="2903"/>
    <cellStyle name="Percent (0) 4" xfId="2904"/>
    <cellStyle name="Percent (0) 5" xfId="2905"/>
    <cellStyle name="Percent (0) 6" xfId="2906"/>
    <cellStyle name="Percent (0) 7" xfId="2907"/>
    <cellStyle name="Percent (0) 8" xfId="2908"/>
    <cellStyle name="Percent (0) 9" xfId="2909"/>
    <cellStyle name="Percent [0]" xfId="2910"/>
    <cellStyle name="Percent [0] 10" xfId="2911"/>
    <cellStyle name="Percent [0] 11" xfId="2912"/>
    <cellStyle name="Percent [0] 12" xfId="2913"/>
    <cellStyle name="Percent [0] 13" xfId="2914"/>
    <cellStyle name="Percent [0] 14" xfId="2915"/>
    <cellStyle name="Percent [0] 15" xfId="2916"/>
    <cellStyle name="Percent [0] 16" xfId="2917"/>
    <cellStyle name="Percent [0] 2" xfId="2918"/>
    <cellStyle name="Percent [0] 3" xfId="2919"/>
    <cellStyle name="Percent [0] 4" xfId="2920"/>
    <cellStyle name="Percent [0] 5" xfId="2921"/>
    <cellStyle name="Percent [0] 6" xfId="2922"/>
    <cellStyle name="Percent [0] 7" xfId="2923"/>
    <cellStyle name="Percent [0] 8" xfId="2924"/>
    <cellStyle name="Percent [0] 9" xfId="2925"/>
    <cellStyle name="Percent [00]" xfId="2926"/>
    <cellStyle name="Percent [00] 10" xfId="2927"/>
    <cellStyle name="Percent [00] 11" xfId="2928"/>
    <cellStyle name="Percent [00] 12" xfId="2929"/>
    <cellStyle name="Percent [00] 13" xfId="2930"/>
    <cellStyle name="Percent [00] 14" xfId="2931"/>
    <cellStyle name="Percent [00] 15" xfId="2932"/>
    <cellStyle name="Percent [00] 16" xfId="2933"/>
    <cellStyle name="Percent [00] 2" xfId="2934"/>
    <cellStyle name="Percent [00] 3" xfId="2935"/>
    <cellStyle name="Percent [00] 4" xfId="2936"/>
    <cellStyle name="Percent [00] 5" xfId="2937"/>
    <cellStyle name="Percent [00] 6" xfId="2938"/>
    <cellStyle name="Percent [00] 7" xfId="2939"/>
    <cellStyle name="Percent [00] 8" xfId="2940"/>
    <cellStyle name="Percent [00] 9" xfId="2941"/>
    <cellStyle name="Percent [2]" xfId="2942"/>
    <cellStyle name="Percent [2] 10" xfId="2943"/>
    <cellStyle name="Percent [2] 11" xfId="2944"/>
    <cellStyle name="Percent [2] 12" xfId="2945"/>
    <cellStyle name="Percent [2] 13" xfId="2946"/>
    <cellStyle name="Percent [2] 14" xfId="2947"/>
    <cellStyle name="Percent [2] 15" xfId="2948"/>
    <cellStyle name="Percent [2] 16" xfId="2949"/>
    <cellStyle name="Percent [2] 2" xfId="2950"/>
    <cellStyle name="Percent [2] 2 2" xfId="2951"/>
    <cellStyle name="Percent [2] 3" xfId="2952"/>
    <cellStyle name="Percent [2] 4" xfId="2953"/>
    <cellStyle name="Percent [2] 5" xfId="2954"/>
    <cellStyle name="Percent [2] 6" xfId="2955"/>
    <cellStyle name="Percent [2] 7" xfId="2956"/>
    <cellStyle name="Percent [2] 8" xfId="2957"/>
    <cellStyle name="Percent [2] 9" xfId="2958"/>
    <cellStyle name="Percent 0.0%" xfId="2959"/>
    <cellStyle name="Percent 0.0% Long Underline" xfId="2960"/>
    <cellStyle name="Percent 0.00%" xfId="2961"/>
    <cellStyle name="Percent 0.00% Long Underline" xfId="2962"/>
    <cellStyle name="Percent 0.000%" xfId="2963"/>
    <cellStyle name="Percent 0.000% Long Underline" xfId="2964"/>
    <cellStyle name="Percent 10" xfId="2965"/>
    <cellStyle name="Percent 10 2" xfId="2966"/>
    <cellStyle name="Percent 11" xfId="2967"/>
    <cellStyle name="Percent 11 2" xfId="2968"/>
    <cellStyle name="Percent 12" xfId="2969"/>
    <cellStyle name="Percent 12 2" xfId="2970"/>
    <cellStyle name="Percent 13" xfId="2971"/>
    <cellStyle name="Percent 13 2" xfId="2972"/>
    <cellStyle name="Percent 14" xfId="2973"/>
    <cellStyle name="Percent 14 2" xfId="2974"/>
    <cellStyle name="Percent 15" xfId="2975"/>
    <cellStyle name="Percent 16" xfId="2976"/>
    <cellStyle name="Percent 17" xfId="2977"/>
    <cellStyle name="Percent 18" xfId="2978"/>
    <cellStyle name="Percent 19" xfId="2979"/>
    <cellStyle name="Percent 19 2" xfId="2980"/>
    <cellStyle name="Percent 2" xfId="19"/>
    <cellStyle name="Percent 2 2" xfId="2981"/>
    <cellStyle name="Percent 2 2 2" xfId="2982"/>
    <cellStyle name="Percent 2 2 2 2" xfId="4980"/>
    <cellStyle name="Percent 2 2 3" xfId="2983"/>
    <cellStyle name="Percent 2 2 3 2" xfId="4981"/>
    <cellStyle name="Percent 2 3" xfId="2984"/>
    <cellStyle name="Percent 2 3 2" xfId="4982"/>
    <cellStyle name="Percent 2 4" xfId="2985"/>
    <cellStyle name="Percent 2 5" xfId="4983"/>
    <cellStyle name="Percent 20" xfId="2986"/>
    <cellStyle name="Percent 20 2" xfId="2987"/>
    <cellStyle name="Percent 21" xfId="2988"/>
    <cellStyle name="Percent 22" xfId="2989"/>
    <cellStyle name="Percent 23" xfId="2990"/>
    <cellStyle name="Percent 3" xfId="2991"/>
    <cellStyle name="Percent 3 2" xfId="2992"/>
    <cellStyle name="Percent 3 2 2" xfId="4984"/>
    <cellStyle name="Percent 3 3" xfId="2993"/>
    <cellStyle name="Percent 4" xfId="2994"/>
    <cellStyle name="Percent 4 2" xfId="2995"/>
    <cellStyle name="Percent 5" xfId="2996"/>
    <cellStyle name="Percent 5 2" xfId="2997"/>
    <cellStyle name="Percent 5 3" xfId="4985"/>
    <cellStyle name="Percent 6" xfId="2998"/>
    <cellStyle name="Percent 6 2" xfId="2999"/>
    <cellStyle name="Percent 6 2 2" xfId="4987"/>
    <cellStyle name="Percent 6 3" xfId="4986"/>
    <cellStyle name="Percent 7" xfId="3000"/>
    <cellStyle name="Percent 7 2" xfId="3001"/>
    <cellStyle name="Percent 7 3" xfId="4988"/>
    <cellStyle name="Percent 8" xfId="3002"/>
    <cellStyle name="Percent 8 2" xfId="3003"/>
    <cellStyle name="Percent 8 3" xfId="4989"/>
    <cellStyle name="Percent 9" xfId="3004"/>
    <cellStyle name="Percent 9 2" xfId="3005"/>
    <cellStyle name="PERCENTAGE" xfId="3006"/>
    <cellStyle name="PERCENTAGE 2" xfId="3007"/>
    <cellStyle name="PrePop Currency (0)" xfId="3008"/>
    <cellStyle name="PrePop Currency (0) 10" xfId="3009"/>
    <cellStyle name="PrePop Currency (0) 11" xfId="3010"/>
    <cellStyle name="PrePop Currency (0) 12" xfId="3011"/>
    <cellStyle name="PrePop Currency (0) 13" xfId="3012"/>
    <cellStyle name="PrePop Currency (0) 14" xfId="3013"/>
    <cellStyle name="PrePop Currency (0) 15" xfId="3014"/>
    <cellStyle name="PrePop Currency (0) 16" xfId="3015"/>
    <cellStyle name="PrePop Currency (0) 2" xfId="3016"/>
    <cellStyle name="PrePop Currency (0) 3" xfId="3017"/>
    <cellStyle name="PrePop Currency (0) 4" xfId="3018"/>
    <cellStyle name="PrePop Currency (0) 5" xfId="3019"/>
    <cellStyle name="PrePop Currency (0) 6" xfId="3020"/>
    <cellStyle name="PrePop Currency (0) 7" xfId="3021"/>
    <cellStyle name="PrePop Currency (0) 8" xfId="3022"/>
    <cellStyle name="PrePop Currency (0) 9" xfId="3023"/>
    <cellStyle name="PrePop Currency (2)" xfId="3024"/>
    <cellStyle name="PrePop Currency (2) 10" xfId="3025"/>
    <cellStyle name="PrePop Currency (2) 11" xfId="3026"/>
    <cellStyle name="PrePop Currency (2) 12" xfId="3027"/>
    <cellStyle name="PrePop Currency (2) 13" xfId="3028"/>
    <cellStyle name="PrePop Currency (2) 14" xfId="3029"/>
    <cellStyle name="PrePop Currency (2) 15" xfId="3030"/>
    <cellStyle name="PrePop Currency (2) 16" xfId="3031"/>
    <cellStyle name="PrePop Currency (2) 2" xfId="3032"/>
    <cellStyle name="PrePop Currency (2) 3" xfId="3033"/>
    <cellStyle name="PrePop Currency (2) 4" xfId="3034"/>
    <cellStyle name="PrePop Currency (2) 5" xfId="3035"/>
    <cellStyle name="PrePop Currency (2) 6" xfId="3036"/>
    <cellStyle name="PrePop Currency (2) 7" xfId="3037"/>
    <cellStyle name="PrePop Currency (2) 8" xfId="3038"/>
    <cellStyle name="PrePop Currency (2) 9" xfId="3039"/>
    <cellStyle name="PrePop Units (0)" xfId="3040"/>
    <cellStyle name="PrePop Units (0) 10" xfId="3041"/>
    <cellStyle name="PrePop Units (0) 11" xfId="3042"/>
    <cellStyle name="PrePop Units (0) 12" xfId="3043"/>
    <cellStyle name="PrePop Units (0) 13" xfId="3044"/>
    <cellStyle name="PrePop Units (0) 14" xfId="3045"/>
    <cellStyle name="PrePop Units (0) 15" xfId="3046"/>
    <cellStyle name="PrePop Units (0) 16" xfId="3047"/>
    <cellStyle name="PrePop Units (0) 2" xfId="3048"/>
    <cellStyle name="PrePop Units (0) 3" xfId="3049"/>
    <cellStyle name="PrePop Units (0) 4" xfId="3050"/>
    <cellStyle name="PrePop Units (0) 5" xfId="3051"/>
    <cellStyle name="PrePop Units (0) 6" xfId="3052"/>
    <cellStyle name="PrePop Units (0) 7" xfId="3053"/>
    <cellStyle name="PrePop Units (0) 8" xfId="3054"/>
    <cellStyle name="PrePop Units (0) 9" xfId="3055"/>
    <cellStyle name="PrePop Units (1)" xfId="3056"/>
    <cellStyle name="PrePop Units (1) 10" xfId="3057"/>
    <cellStyle name="PrePop Units (1) 11" xfId="3058"/>
    <cellStyle name="PrePop Units (1) 12" xfId="3059"/>
    <cellStyle name="PrePop Units (1) 13" xfId="3060"/>
    <cellStyle name="PrePop Units (1) 14" xfId="3061"/>
    <cellStyle name="PrePop Units (1) 15" xfId="3062"/>
    <cellStyle name="PrePop Units (1) 16" xfId="3063"/>
    <cellStyle name="PrePop Units (1) 2" xfId="3064"/>
    <cellStyle name="PrePop Units (1) 3" xfId="3065"/>
    <cellStyle name="PrePop Units (1) 4" xfId="3066"/>
    <cellStyle name="PrePop Units (1) 5" xfId="3067"/>
    <cellStyle name="PrePop Units (1) 6" xfId="3068"/>
    <cellStyle name="PrePop Units (1) 7" xfId="3069"/>
    <cellStyle name="PrePop Units (1) 8" xfId="3070"/>
    <cellStyle name="PrePop Units (1) 9" xfId="3071"/>
    <cellStyle name="PrePop Units (2)" xfId="3072"/>
    <cellStyle name="PrePop Units (2) 10" xfId="3073"/>
    <cellStyle name="PrePop Units (2) 11" xfId="3074"/>
    <cellStyle name="PrePop Units (2) 12" xfId="3075"/>
    <cellStyle name="PrePop Units (2) 13" xfId="3076"/>
    <cellStyle name="PrePop Units (2) 14" xfId="3077"/>
    <cellStyle name="PrePop Units (2) 15" xfId="3078"/>
    <cellStyle name="PrePop Units (2) 16" xfId="3079"/>
    <cellStyle name="PrePop Units (2) 2" xfId="3080"/>
    <cellStyle name="PrePop Units (2) 3" xfId="3081"/>
    <cellStyle name="PrePop Units (2) 4" xfId="3082"/>
    <cellStyle name="PrePop Units (2) 5" xfId="3083"/>
    <cellStyle name="PrePop Units (2) 6" xfId="3084"/>
    <cellStyle name="PrePop Units (2) 7" xfId="3085"/>
    <cellStyle name="PrePop Units (2) 8" xfId="3086"/>
    <cellStyle name="PrePop Units (2) 9" xfId="3087"/>
    <cellStyle name="pricing" xfId="3088"/>
    <cellStyle name="pricing 2" xfId="3089"/>
    <cellStyle name="PSChar" xfId="3090"/>
    <cellStyle name="PSHeading" xfId="3091"/>
    <cellStyle name="Quantity" xfId="3092"/>
    <cellStyle name="regstoresfromspecstores" xfId="3093"/>
    <cellStyle name="regstoresfromspecstores 2" xfId="3094"/>
    <cellStyle name="RevList" xfId="3095"/>
    <cellStyle name="rlink_tiªn l­în_x005f_x001b_Hyperlink_TONG HOP KINH PHI" xfId="3096"/>
    <cellStyle name="rmal_ADAdot" xfId="3097"/>
    <cellStyle name="S—_x0008_" xfId="3098"/>
    <cellStyle name="S—_x0008_ 2" xfId="3099"/>
    <cellStyle name="S—_x0008_ 3" xfId="4990"/>
    <cellStyle name="s]_x000a__x000a_spooler=yes_x000a__x000a_load=_x000a__x000a_Beep=yes_x000a__x000a_NullPort=None_x000a__x000a_BorderWidth=3_x000a__x000a_CursorBlinkRate=1200_x000a__x000a_DoubleClickSpeed=452_x000a__x000a_Programs=co" xfId="3100"/>
    <cellStyle name="s]_x000d__x000a_spooler=yes_x000d__x000a_load=_x000d__x000a_Beep=yes_x000d__x000a_NullPort=None_x000d__x000a_BorderWidth=3_x000d__x000a_CursorBlinkRate=1200_x000d__x000a_DoubleClickSpeed=452_x000d__x000a_Programs=co" xfId="310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2"/>
    <cellStyle name="S—_x0008__KH TPCP vung TNB (03-1-2012)" xfId="3103"/>
    <cellStyle name="S—_x005f_x0008_" xfId="3104"/>
    <cellStyle name="SAPBEXaggData" xfId="3105"/>
    <cellStyle name="SAPBEXaggData 2" xfId="3106"/>
    <cellStyle name="SAPBEXaggDataEmph" xfId="3107"/>
    <cellStyle name="SAPBEXaggDataEmph 2" xfId="3108"/>
    <cellStyle name="SAPBEXaggItem" xfId="3109"/>
    <cellStyle name="SAPBEXaggItem 2" xfId="3110"/>
    <cellStyle name="SAPBEXchaText" xfId="3111"/>
    <cellStyle name="SAPBEXchaText 2" xfId="3112"/>
    <cellStyle name="SAPBEXexcBad7" xfId="3113"/>
    <cellStyle name="SAPBEXexcBad7 2" xfId="3114"/>
    <cellStyle name="SAPBEXexcBad8" xfId="3115"/>
    <cellStyle name="SAPBEXexcBad8 2" xfId="3116"/>
    <cellStyle name="SAPBEXexcBad9" xfId="3117"/>
    <cellStyle name="SAPBEXexcBad9 2" xfId="3118"/>
    <cellStyle name="SAPBEXexcCritical4" xfId="3119"/>
    <cellStyle name="SAPBEXexcCritical4 2" xfId="3120"/>
    <cellStyle name="SAPBEXexcCritical5" xfId="3121"/>
    <cellStyle name="SAPBEXexcCritical5 2" xfId="3122"/>
    <cellStyle name="SAPBEXexcCritical6" xfId="3123"/>
    <cellStyle name="SAPBEXexcCritical6 2" xfId="3124"/>
    <cellStyle name="SAPBEXexcGood1" xfId="3125"/>
    <cellStyle name="SAPBEXexcGood1 2" xfId="3126"/>
    <cellStyle name="SAPBEXexcGood2" xfId="3127"/>
    <cellStyle name="SAPBEXexcGood2 2" xfId="3128"/>
    <cellStyle name="SAPBEXexcGood3" xfId="3129"/>
    <cellStyle name="SAPBEXexcGood3 2" xfId="3130"/>
    <cellStyle name="SAPBEXfilterDrill" xfId="3131"/>
    <cellStyle name="SAPBEXfilterDrill 2" xfId="3132"/>
    <cellStyle name="SAPBEXfilterItem" xfId="3133"/>
    <cellStyle name="SAPBEXfilterItem 2" xfId="3134"/>
    <cellStyle name="SAPBEXfilterText" xfId="3135"/>
    <cellStyle name="SAPBEXfilterText 2" xfId="3136"/>
    <cellStyle name="SAPBEXformats" xfId="3137"/>
    <cellStyle name="SAPBEXformats 2" xfId="3138"/>
    <cellStyle name="SAPBEXheaderItem" xfId="3139"/>
    <cellStyle name="SAPBEXheaderItem 2" xfId="3140"/>
    <cellStyle name="SAPBEXheaderText" xfId="3141"/>
    <cellStyle name="SAPBEXheaderText 2" xfId="3142"/>
    <cellStyle name="SAPBEXresData" xfId="3143"/>
    <cellStyle name="SAPBEXresData 2" xfId="3144"/>
    <cellStyle name="SAPBEXresDataEmph" xfId="3145"/>
    <cellStyle name="SAPBEXresDataEmph 2" xfId="3146"/>
    <cellStyle name="SAPBEXresItem" xfId="3147"/>
    <cellStyle name="SAPBEXresItem 2" xfId="3148"/>
    <cellStyle name="SAPBEXstdData" xfId="3149"/>
    <cellStyle name="SAPBEXstdData 2" xfId="3150"/>
    <cellStyle name="SAPBEXstdDataEmph" xfId="3151"/>
    <cellStyle name="SAPBEXstdDataEmph 2" xfId="3152"/>
    <cellStyle name="SAPBEXstdItem" xfId="3153"/>
    <cellStyle name="SAPBEXstdItem 2" xfId="3154"/>
    <cellStyle name="SAPBEXtitle" xfId="3155"/>
    <cellStyle name="SAPBEXtitle 2" xfId="3156"/>
    <cellStyle name="SAPBEXundefined" xfId="3157"/>
    <cellStyle name="SAPBEXundefined 2" xfId="3158"/>
    <cellStyle name="serJet 1200 Series PCL 6" xfId="3159"/>
    <cellStyle name="SHADEDSTORES" xfId="3160"/>
    <cellStyle name="SHADEDSTORES 2" xfId="3161"/>
    <cellStyle name="songuyen" xfId="3162"/>
    <cellStyle name="specstores" xfId="3163"/>
    <cellStyle name="Standard_AAbgleich" xfId="3164"/>
    <cellStyle name="STTDG" xfId="3165"/>
    <cellStyle name="Style 1" xfId="3166"/>
    <cellStyle name="Style 1 2" xfId="3167"/>
    <cellStyle name="Style 1 3" xfId="3168"/>
    <cellStyle name="Style 1 4" xfId="4262"/>
    <cellStyle name="Style 1 5" xfId="4991"/>
    <cellStyle name="Style 1 6" xfId="4992"/>
    <cellStyle name="Style 10" xfId="3169"/>
    <cellStyle name="Style 10 2" xfId="3170"/>
    <cellStyle name="Style 100" xfId="3171"/>
    <cellStyle name="Style 101" xfId="3172"/>
    <cellStyle name="Style 102" xfId="3173"/>
    <cellStyle name="Style 102 2" xfId="4993"/>
    <cellStyle name="Style 103" xfId="3174"/>
    <cellStyle name="Style 104" xfId="3175"/>
    <cellStyle name="Style 105" xfId="3176"/>
    <cellStyle name="Style 106" xfId="3177"/>
    <cellStyle name="Style 107" xfId="3178"/>
    <cellStyle name="Style 108" xfId="3179"/>
    <cellStyle name="Style 108 2" xfId="4994"/>
    <cellStyle name="Style 109" xfId="3180"/>
    <cellStyle name="Style 109 2" xfId="4995"/>
    <cellStyle name="Style 11" xfId="3181"/>
    <cellStyle name="Style 11 2" xfId="3182"/>
    <cellStyle name="Style 110" xfId="3183"/>
    <cellStyle name="Style 111" xfId="3184"/>
    <cellStyle name="Style 112" xfId="3185"/>
    <cellStyle name="Style 113" xfId="3186"/>
    <cellStyle name="Style 114" xfId="3187"/>
    <cellStyle name="Style 115" xfId="3188"/>
    <cellStyle name="Style 116" xfId="3189"/>
    <cellStyle name="Style 117" xfId="3190"/>
    <cellStyle name="Style 118" xfId="3191"/>
    <cellStyle name="Style 119" xfId="3192"/>
    <cellStyle name="Style 12" xfId="3193"/>
    <cellStyle name="Style 12 2" xfId="3194"/>
    <cellStyle name="Style 120" xfId="3195"/>
    <cellStyle name="Style 121" xfId="3196"/>
    <cellStyle name="Style 122" xfId="3197"/>
    <cellStyle name="Style 123" xfId="3198"/>
    <cellStyle name="Style 124" xfId="3199"/>
    <cellStyle name="Style 125" xfId="3200"/>
    <cellStyle name="Style 126" xfId="3201"/>
    <cellStyle name="Style 127" xfId="3202"/>
    <cellStyle name="Style 128" xfId="3203"/>
    <cellStyle name="Style 129" xfId="3204"/>
    <cellStyle name="Style 13" xfId="3205"/>
    <cellStyle name="Style 13 2" xfId="3206"/>
    <cellStyle name="Style 130" xfId="3207"/>
    <cellStyle name="Style 131" xfId="3208"/>
    <cellStyle name="Style 132" xfId="3209"/>
    <cellStyle name="Style 133" xfId="3210"/>
    <cellStyle name="Style 134" xfId="3211"/>
    <cellStyle name="Style 135" xfId="3212"/>
    <cellStyle name="Style 136" xfId="3213"/>
    <cellStyle name="Style 137" xfId="3214"/>
    <cellStyle name="Style 138" xfId="3215"/>
    <cellStyle name="Style 139" xfId="3216"/>
    <cellStyle name="Style 14" xfId="3217"/>
    <cellStyle name="Style 14 2" xfId="3218"/>
    <cellStyle name="Style 140" xfId="3219"/>
    <cellStyle name="Style 141" xfId="3220"/>
    <cellStyle name="Style 142" xfId="3221"/>
    <cellStyle name="Style 143" xfId="3222"/>
    <cellStyle name="Style 144" xfId="3223"/>
    <cellStyle name="Style 145" xfId="3224"/>
    <cellStyle name="Style 146" xfId="3225"/>
    <cellStyle name="Style 147" xfId="3226"/>
    <cellStyle name="Style 148" xfId="3227"/>
    <cellStyle name="Style 149" xfId="3228"/>
    <cellStyle name="Style 15" xfId="3229"/>
    <cellStyle name="Style 15 2" xfId="3230"/>
    <cellStyle name="Style 150" xfId="3231"/>
    <cellStyle name="Style 151" xfId="3232"/>
    <cellStyle name="Style 152" xfId="3233"/>
    <cellStyle name="Style 153" xfId="3234"/>
    <cellStyle name="Style 154" xfId="3235"/>
    <cellStyle name="Style 155" xfId="3236"/>
    <cellStyle name="Style 16" xfId="3237"/>
    <cellStyle name="Style 16 2" xfId="3238"/>
    <cellStyle name="Style 16 3" xfId="4996"/>
    <cellStyle name="Style 17" xfId="3239"/>
    <cellStyle name="Style 17 2" xfId="3240"/>
    <cellStyle name="Style 17 3" xfId="4997"/>
    <cellStyle name="Style 18" xfId="3241"/>
    <cellStyle name="Style 18 2" xfId="3242"/>
    <cellStyle name="Style 18 3" xfId="4998"/>
    <cellStyle name="Style 19" xfId="3243"/>
    <cellStyle name="Style 19 2" xfId="3244"/>
    <cellStyle name="Style 2" xfId="3245"/>
    <cellStyle name="Style 2 2" xfId="3246"/>
    <cellStyle name="Style 2 3" xfId="4999"/>
    <cellStyle name="Style 20" xfId="3247"/>
    <cellStyle name="Style 20 2" xfId="3248"/>
    <cellStyle name="Style 20 3" xfId="5000"/>
    <cellStyle name="Style 21" xfId="3249"/>
    <cellStyle name="Style 21 2" xfId="3250"/>
    <cellStyle name="Style 21 3" xfId="5001"/>
    <cellStyle name="Style 22" xfId="3251"/>
    <cellStyle name="Style 22 2" xfId="3252"/>
    <cellStyle name="Style 22 3" xfId="5002"/>
    <cellStyle name="Style 23" xfId="3253"/>
    <cellStyle name="Style 23 2" xfId="3254"/>
    <cellStyle name="Style 23 3" xfId="5003"/>
    <cellStyle name="Style 24" xfId="3255"/>
    <cellStyle name="Style 24 2" xfId="3256"/>
    <cellStyle name="Style 25" xfId="3257"/>
    <cellStyle name="Style 25 2" xfId="3258"/>
    <cellStyle name="Style 26" xfId="3259"/>
    <cellStyle name="Style 26 2" xfId="3260"/>
    <cellStyle name="Style 27" xfId="3261"/>
    <cellStyle name="Style 27 2" xfId="3262"/>
    <cellStyle name="Style 28" xfId="3263"/>
    <cellStyle name="Style 28 2" xfId="3264"/>
    <cellStyle name="Style 29" xfId="3265"/>
    <cellStyle name="Style 29 2" xfId="3266"/>
    <cellStyle name="Style 3" xfId="3267"/>
    <cellStyle name="Style 3 2" xfId="3268"/>
    <cellStyle name="Style 3 3" xfId="5004"/>
    <cellStyle name="Style 30" xfId="3269"/>
    <cellStyle name="Style 30 2" xfId="3270"/>
    <cellStyle name="Style 31" xfId="3271"/>
    <cellStyle name="Style 31 2" xfId="3272"/>
    <cellStyle name="Style 32" xfId="3273"/>
    <cellStyle name="Style 32 2" xfId="3274"/>
    <cellStyle name="Style 33" xfId="3275"/>
    <cellStyle name="Style 33 2" xfId="3276"/>
    <cellStyle name="Style 34" xfId="3277"/>
    <cellStyle name="Style 34 2" xfId="3278"/>
    <cellStyle name="Style 35" xfId="3279"/>
    <cellStyle name="Style 35 2" xfId="3280"/>
    <cellStyle name="Style 36" xfId="3281"/>
    <cellStyle name="Style 37" xfId="3282"/>
    <cellStyle name="Style 37 2" xfId="3283"/>
    <cellStyle name="Style 38" xfId="3284"/>
    <cellStyle name="Style 38 2" xfId="3285"/>
    <cellStyle name="Style 38 3" xfId="5005"/>
    <cellStyle name="Style 39" xfId="3286"/>
    <cellStyle name="Style 39 2" xfId="3287"/>
    <cellStyle name="Style 39 3" xfId="5006"/>
    <cellStyle name="Style 4" xfId="3288"/>
    <cellStyle name="Style 4 2" xfId="3289"/>
    <cellStyle name="Style 4 3" xfId="5007"/>
    <cellStyle name="Style 40" xfId="3290"/>
    <cellStyle name="Style 40 2" xfId="3291"/>
    <cellStyle name="Style 40 3" xfId="5008"/>
    <cellStyle name="Style 41" xfId="3292"/>
    <cellStyle name="Style 41 2" xfId="3293"/>
    <cellStyle name="Style 42" xfId="3294"/>
    <cellStyle name="Style 42 2" xfId="3295"/>
    <cellStyle name="Style 43" xfId="3296"/>
    <cellStyle name="Style 43 2" xfId="3297"/>
    <cellStyle name="Style 44" xfId="3298"/>
    <cellStyle name="Style 44 2" xfId="3299"/>
    <cellStyle name="Style 45" xfId="3300"/>
    <cellStyle name="Style 45 2" xfId="3301"/>
    <cellStyle name="Style 45 3" xfId="5009"/>
    <cellStyle name="Style 46" xfId="3302"/>
    <cellStyle name="Style 46 2" xfId="3303"/>
    <cellStyle name="Style 46 3" xfId="5010"/>
    <cellStyle name="Style 47" xfId="3304"/>
    <cellStyle name="Style 47 2" xfId="3305"/>
    <cellStyle name="Style 47 3" xfId="5011"/>
    <cellStyle name="Style 48" xfId="3306"/>
    <cellStyle name="Style 48 2" xfId="3307"/>
    <cellStyle name="Style 49" xfId="3308"/>
    <cellStyle name="Style 49 2" xfId="3309"/>
    <cellStyle name="Style 5" xfId="3310"/>
    <cellStyle name="Style 50" xfId="3311"/>
    <cellStyle name="Style 50 2" xfId="3312"/>
    <cellStyle name="Style 51" xfId="3313"/>
    <cellStyle name="Style 51 2" xfId="3314"/>
    <cellStyle name="Style 52" xfId="3315"/>
    <cellStyle name="Style 52 2" xfId="3316"/>
    <cellStyle name="Style 53" xfId="3317"/>
    <cellStyle name="Style 53 2" xfId="3318"/>
    <cellStyle name="Style 53 3" xfId="5012"/>
    <cellStyle name="Style 54" xfId="3319"/>
    <cellStyle name="Style 54 2" xfId="3320"/>
    <cellStyle name="Style 54 3" xfId="5013"/>
    <cellStyle name="Style 55" xfId="3321"/>
    <cellStyle name="Style 55 2" xfId="3322"/>
    <cellStyle name="Style 56" xfId="3323"/>
    <cellStyle name="Style 57" xfId="3324"/>
    <cellStyle name="Style 57 2" xfId="5014"/>
    <cellStyle name="Style 58" xfId="3325"/>
    <cellStyle name="Style 59" xfId="3326"/>
    <cellStyle name="Style 59 2" xfId="5015"/>
    <cellStyle name="Style 6" xfId="3327"/>
    <cellStyle name="Style 6 2" xfId="3328"/>
    <cellStyle name="Style 6 3" xfId="5016"/>
    <cellStyle name="Style 60" xfId="3329"/>
    <cellStyle name="Style 61" xfId="3330"/>
    <cellStyle name="Style 61 2" xfId="5017"/>
    <cellStyle name="Style 62" xfId="3331"/>
    <cellStyle name="Style 63" xfId="3332"/>
    <cellStyle name="Style 64" xfId="3333"/>
    <cellStyle name="Style 64 2" xfId="5018"/>
    <cellStyle name="Style 65" xfId="3334"/>
    <cellStyle name="Style 66" xfId="3335"/>
    <cellStyle name="Style 67" xfId="3336"/>
    <cellStyle name="Style 68" xfId="3337"/>
    <cellStyle name="Style 69" xfId="3338"/>
    <cellStyle name="Style 7" xfId="3339"/>
    <cellStyle name="Style 7 2" xfId="3340"/>
    <cellStyle name="Style 7 3" xfId="5019"/>
    <cellStyle name="Style 70" xfId="3341"/>
    <cellStyle name="Style 71" xfId="3342"/>
    <cellStyle name="Style 72" xfId="3343"/>
    <cellStyle name="Style 73" xfId="3344"/>
    <cellStyle name="Style 74" xfId="3345"/>
    <cellStyle name="Style 75" xfId="3346"/>
    <cellStyle name="Style 75 2" xfId="5020"/>
    <cellStyle name="Style 76" xfId="3347"/>
    <cellStyle name="Style 77" xfId="3348"/>
    <cellStyle name="Style 77 2" xfId="5021"/>
    <cellStyle name="Style 78" xfId="3349"/>
    <cellStyle name="Style 79" xfId="3350"/>
    <cellStyle name="Style 8" xfId="3351"/>
    <cellStyle name="Style 8 2" xfId="3352"/>
    <cellStyle name="Style 8 3" xfId="5022"/>
    <cellStyle name="Style 80" xfId="3353"/>
    <cellStyle name="Style 81" xfId="3354"/>
    <cellStyle name="Style 82" xfId="3355"/>
    <cellStyle name="Style 83" xfId="3356"/>
    <cellStyle name="Style 84" xfId="3357"/>
    <cellStyle name="Style 85" xfId="3358"/>
    <cellStyle name="Style 86" xfId="3359"/>
    <cellStyle name="Style 87" xfId="3360"/>
    <cellStyle name="Style 87 2" xfId="5023"/>
    <cellStyle name="Style 88" xfId="3361"/>
    <cellStyle name="Style 88 2" xfId="5024"/>
    <cellStyle name="Style 89" xfId="3362"/>
    <cellStyle name="Style 9" xfId="3363"/>
    <cellStyle name="Style 9 2" xfId="3364"/>
    <cellStyle name="Style 9 3" xfId="5025"/>
    <cellStyle name="Style 90" xfId="3365"/>
    <cellStyle name="Style 91" xfId="3366"/>
    <cellStyle name="Style 92" xfId="3367"/>
    <cellStyle name="Style 93" xfId="3368"/>
    <cellStyle name="Style 93 2" xfId="5026"/>
    <cellStyle name="Style 94" xfId="3369"/>
    <cellStyle name="Style 95" xfId="3370"/>
    <cellStyle name="Style 96" xfId="3371"/>
    <cellStyle name="Style 96 2" xfId="5027"/>
    <cellStyle name="Style 97" xfId="3372"/>
    <cellStyle name="Style 98" xfId="3373"/>
    <cellStyle name="Style 99" xfId="3374"/>
    <cellStyle name="Style 99 2" xfId="5028"/>
    <cellStyle name="Style Date" xfId="3375"/>
    <cellStyle name="Style Date 2" xfId="5029"/>
    <cellStyle name="style_1" xfId="3376"/>
    <cellStyle name="subhead" xfId="3377"/>
    <cellStyle name="subhead 2" xfId="3378"/>
    <cellStyle name="Subtotal" xfId="3379"/>
    <cellStyle name="symbol" xfId="3380"/>
    <cellStyle name="T" xfId="3381"/>
    <cellStyle name="T 2" xfId="3382"/>
    <cellStyle name="T_15_10_2013 BC nhu cau von doi ung ODA (2014-2016) ngay 15102013 Sua" xfId="3383"/>
    <cellStyle name="T_bao cao" xfId="3384"/>
    <cellStyle name="T_bao cao 2" xfId="3385"/>
    <cellStyle name="T_bao cao phan bo KHDT 2011(final)" xfId="3386"/>
    <cellStyle name="T_Bao cao so lieu kiem toan nam 2007 sua" xfId="3387"/>
    <cellStyle name="T_Bao cao so lieu kiem toan nam 2007 sua 2" xfId="3388"/>
    <cellStyle name="T_Bao cao so lieu kiem toan nam 2007 sua_!1 1 bao cao giao KH ve HTCMT vung TNB   12-12-2011" xfId="3389"/>
    <cellStyle name="T_Bao cao so lieu kiem toan nam 2007 sua_!1 1 bao cao giao KH ve HTCMT vung TNB   12-12-2011 2" xfId="3390"/>
    <cellStyle name="T_Bao cao so lieu kiem toan nam 2007 sua_KH TPCP vung TNB (03-1-2012)" xfId="3391"/>
    <cellStyle name="T_Bao cao so lieu kiem toan nam 2007 sua_KH TPCP vung TNB (03-1-2012) 2" xfId="3392"/>
    <cellStyle name="T_bao cao_!1 1 bao cao giao KH ve HTCMT vung TNB   12-12-2011" xfId="3393"/>
    <cellStyle name="T_bao cao_!1 1 bao cao giao KH ve HTCMT vung TNB   12-12-2011 2" xfId="3394"/>
    <cellStyle name="T_bao cao_Bieu4HTMT" xfId="3395"/>
    <cellStyle name="T_bao cao_Bieu4HTMT 2" xfId="3396"/>
    <cellStyle name="T_bao cao_Bieu4HTMT_!1 1 bao cao giao KH ve HTCMT vung TNB   12-12-2011" xfId="3397"/>
    <cellStyle name="T_bao cao_Bieu4HTMT_!1 1 bao cao giao KH ve HTCMT vung TNB   12-12-2011 2" xfId="3398"/>
    <cellStyle name="T_bao cao_Bieu4HTMT_KH TPCP vung TNB (03-1-2012)" xfId="3399"/>
    <cellStyle name="T_bao cao_Bieu4HTMT_KH TPCP vung TNB (03-1-2012) 2" xfId="3400"/>
    <cellStyle name="T_bao cao_KH TPCP vung TNB (03-1-2012)" xfId="3401"/>
    <cellStyle name="T_bao cao_KH TPCP vung TNB (03-1-2012) 2" xfId="3402"/>
    <cellStyle name="T_BBTNG-06" xfId="3403"/>
    <cellStyle name="T_BBTNG-06 2" xfId="3404"/>
    <cellStyle name="T_BBTNG-06_!1 1 bao cao giao KH ve HTCMT vung TNB   12-12-2011" xfId="3405"/>
    <cellStyle name="T_BBTNG-06_!1 1 bao cao giao KH ve HTCMT vung TNB   12-12-2011 2" xfId="3406"/>
    <cellStyle name="T_BBTNG-06_Bieu4HTMT" xfId="3407"/>
    <cellStyle name="T_BBTNG-06_Bieu4HTMT 2" xfId="3408"/>
    <cellStyle name="T_BBTNG-06_Bieu4HTMT_!1 1 bao cao giao KH ve HTCMT vung TNB   12-12-2011" xfId="3409"/>
    <cellStyle name="T_BBTNG-06_Bieu4HTMT_!1 1 bao cao giao KH ve HTCMT vung TNB   12-12-2011 2" xfId="3410"/>
    <cellStyle name="T_BBTNG-06_Bieu4HTMT_KH TPCP vung TNB (03-1-2012)" xfId="3411"/>
    <cellStyle name="T_BBTNG-06_Bieu4HTMT_KH TPCP vung TNB (03-1-2012) 2" xfId="3412"/>
    <cellStyle name="T_BBTNG-06_KH TPCP vung TNB (03-1-2012)" xfId="3413"/>
    <cellStyle name="T_BBTNG-06_KH TPCP vung TNB (03-1-2012) 2" xfId="3414"/>
    <cellStyle name="T_BC  NAM 2007" xfId="3415"/>
    <cellStyle name="T_BC  NAM 2007 2" xfId="3416"/>
    <cellStyle name="T_BC CTMT-2008 Ttinh" xfId="3417"/>
    <cellStyle name="T_BC CTMT-2008 Ttinh 2" xfId="3418"/>
    <cellStyle name="T_BC CTMT-2008 Ttinh_!1 1 bao cao giao KH ve HTCMT vung TNB   12-12-2011" xfId="3419"/>
    <cellStyle name="T_BC CTMT-2008 Ttinh_!1 1 bao cao giao KH ve HTCMT vung TNB   12-12-2011 2" xfId="3420"/>
    <cellStyle name="T_BC CTMT-2008 Ttinh_KH TPCP vung TNB (03-1-2012)" xfId="3421"/>
    <cellStyle name="T_BC CTMT-2008 Ttinh_KH TPCP vung TNB (03-1-2012) 2" xfId="3422"/>
    <cellStyle name="T_BC nhu cau von doi ung ODA nganh NN (BKH)" xfId="3423"/>
    <cellStyle name="T_BC nhu cau von doi ung ODA nganh NN (BKH)_05-12  KH trung han 2016-2020 - Liem Thinh edited" xfId="3424"/>
    <cellStyle name="T_BC nhu cau von doi ung ODA nganh NN (BKH)_Copy of 05-12  KH trung han 2016-2020 - Liem Thinh edited (1)" xfId="3425"/>
    <cellStyle name="T_BC Tai co cau (bieu TH)" xfId="3426"/>
    <cellStyle name="T_BC Tai co cau (bieu TH)_05-12  KH trung han 2016-2020 - Liem Thinh edited" xfId="3427"/>
    <cellStyle name="T_BC Tai co cau (bieu TH)_Copy of 05-12  KH trung han 2016-2020 - Liem Thinh edited (1)" xfId="3428"/>
    <cellStyle name="T_Bieu 4.2 A, B KHCTgiong 2011" xfId="3429"/>
    <cellStyle name="T_Bieu 4.2 A, B KHCTgiong 2011 10" xfId="3430"/>
    <cellStyle name="T_Bieu 4.2 A, B KHCTgiong 2011 11" xfId="3431"/>
    <cellStyle name="T_Bieu 4.2 A, B KHCTgiong 2011 12" xfId="3432"/>
    <cellStyle name="T_Bieu 4.2 A, B KHCTgiong 2011 13" xfId="3433"/>
    <cellStyle name="T_Bieu 4.2 A, B KHCTgiong 2011 14" xfId="3434"/>
    <cellStyle name="T_Bieu 4.2 A, B KHCTgiong 2011 15" xfId="3435"/>
    <cellStyle name="T_Bieu 4.2 A, B KHCTgiong 2011 2" xfId="3436"/>
    <cellStyle name="T_Bieu 4.2 A, B KHCTgiong 2011 3" xfId="3437"/>
    <cellStyle name="T_Bieu 4.2 A, B KHCTgiong 2011 4" xfId="3438"/>
    <cellStyle name="T_Bieu 4.2 A, B KHCTgiong 2011 5" xfId="3439"/>
    <cellStyle name="T_Bieu 4.2 A, B KHCTgiong 2011 6" xfId="3440"/>
    <cellStyle name="T_Bieu 4.2 A, B KHCTgiong 2011 7" xfId="3441"/>
    <cellStyle name="T_Bieu 4.2 A, B KHCTgiong 2011 8" xfId="3442"/>
    <cellStyle name="T_Bieu 4.2 A, B KHCTgiong 2011 9" xfId="3443"/>
    <cellStyle name="T_Bieu mau cong trinh khoi cong moi 3-4" xfId="3444"/>
    <cellStyle name="T_Bieu mau cong trinh khoi cong moi 3-4 2" xfId="3445"/>
    <cellStyle name="T_Bieu mau cong trinh khoi cong moi 3-4_!1 1 bao cao giao KH ve HTCMT vung TNB   12-12-2011" xfId="3446"/>
    <cellStyle name="T_Bieu mau cong trinh khoi cong moi 3-4_!1 1 bao cao giao KH ve HTCMT vung TNB   12-12-2011 2" xfId="3447"/>
    <cellStyle name="T_Bieu mau cong trinh khoi cong moi 3-4_KH TPCP vung TNB (03-1-2012)" xfId="3448"/>
    <cellStyle name="T_Bieu mau cong trinh khoi cong moi 3-4_KH TPCP vung TNB (03-1-2012) 2" xfId="3449"/>
    <cellStyle name="T_Bieu mau danh muc du an thuoc CTMTQG nam 2008" xfId="3450"/>
    <cellStyle name="T_Bieu mau danh muc du an thuoc CTMTQG nam 2008 2" xfId="3451"/>
    <cellStyle name="T_Bieu mau danh muc du an thuoc CTMTQG nam 2008_!1 1 bao cao giao KH ve HTCMT vung TNB   12-12-2011" xfId="3452"/>
    <cellStyle name="T_Bieu mau danh muc du an thuoc CTMTQG nam 2008_!1 1 bao cao giao KH ve HTCMT vung TNB   12-12-2011 2" xfId="3453"/>
    <cellStyle name="T_Bieu mau danh muc du an thuoc CTMTQG nam 2008_KH TPCP vung TNB (03-1-2012)" xfId="3454"/>
    <cellStyle name="T_Bieu mau danh muc du an thuoc CTMTQG nam 2008_KH TPCP vung TNB (03-1-2012) 2" xfId="3455"/>
    <cellStyle name="T_Bieu tong hop nhu cau ung 2011 da chon loc -Mien nui" xfId="3456"/>
    <cellStyle name="T_Bieu tong hop nhu cau ung 2011 da chon loc -Mien nui 2" xfId="3457"/>
    <cellStyle name="T_Bieu tong hop nhu cau ung 2011 da chon loc -Mien nui_!1 1 bao cao giao KH ve HTCMT vung TNB   12-12-2011" xfId="3458"/>
    <cellStyle name="T_Bieu tong hop nhu cau ung 2011 da chon loc -Mien nui_!1 1 bao cao giao KH ve HTCMT vung TNB   12-12-2011 2" xfId="3459"/>
    <cellStyle name="T_Bieu tong hop nhu cau ung 2011 da chon loc -Mien nui_KH TPCP vung TNB (03-1-2012)" xfId="3460"/>
    <cellStyle name="T_Bieu tong hop nhu cau ung 2011 da chon loc -Mien nui_KH TPCP vung TNB (03-1-2012) 2" xfId="3461"/>
    <cellStyle name="T_Bieu3ODA" xfId="3462"/>
    <cellStyle name="T_Bieu3ODA 2" xfId="3463"/>
    <cellStyle name="T_Bieu3ODA_!1 1 bao cao giao KH ve HTCMT vung TNB   12-12-2011" xfId="3464"/>
    <cellStyle name="T_Bieu3ODA_!1 1 bao cao giao KH ve HTCMT vung TNB   12-12-2011 2" xfId="3465"/>
    <cellStyle name="T_Bieu3ODA_1" xfId="3466"/>
    <cellStyle name="T_Bieu3ODA_1 2" xfId="3467"/>
    <cellStyle name="T_Bieu3ODA_1_!1 1 bao cao giao KH ve HTCMT vung TNB   12-12-2011" xfId="3468"/>
    <cellStyle name="T_Bieu3ODA_1_!1 1 bao cao giao KH ve HTCMT vung TNB   12-12-2011 2" xfId="3469"/>
    <cellStyle name="T_Bieu3ODA_1_KH TPCP vung TNB (03-1-2012)" xfId="3470"/>
    <cellStyle name="T_Bieu3ODA_1_KH TPCP vung TNB (03-1-2012) 2" xfId="3471"/>
    <cellStyle name="T_Bieu3ODA_KH TPCP vung TNB (03-1-2012)" xfId="3472"/>
    <cellStyle name="T_Bieu3ODA_KH TPCP vung TNB (03-1-2012) 2" xfId="3473"/>
    <cellStyle name="T_Bieu4HTMT" xfId="3474"/>
    <cellStyle name="T_Bieu4HTMT 2" xfId="3475"/>
    <cellStyle name="T_Bieu4HTMT_!1 1 bao cao giao KH ve HTCMT vung TNB   12-12-2011" xfId="3476"/>
    <cellStyle name="T_Bieu4HTMT_!1 1 bao cao giao KH ve HTCMT vung TNB   12-12-2011 2" xfId="3477"/>
    <cellStyle name="T_Bieu4HTMT_KH TPCP vung TNB (03-1-2012)" xfId="3478"/>
    <cellStyle name="T_Bieu4HTMT_KH TPCP vung TNB (03-1-2012) 2" xfId="3479"/>
    <cellStyle name="T_bo sung von KCH nam 2010 va Du an tre kho khan" xfId="3480"/>
    <cellStyle name="T_bo sung von KCH nam 2010 va Du an tre kho khan 2" xfId="3481"/>
    <cellStyle name="T_bo sung von KCH nam 2010 va Du an tre kho khan_!1 1 bao cao giao KH ve HTCMT vung TNB   12-12-2011" xfId="3482"/>
    <cellStyle name="T_bo sung von KCH nam 2010 va Du an tre kho khan_!1 1 bao cao giao KH ve HTCMT vung TNB   12-12-2011 2" xfId="3483"/>
    <cellStyle name="T_bo sung von KCH nam 2010 va Du an tre kho khan_KH TPCP vung TNB (03-1-2012)" xfId="3484"/>
    <cellStyle name="T_bo sung von KCH nam 2010 va Du an tre kho khan_KH TPCP vung TNB (03-1-2012) 2" xfId="3485"/>
    <cellStyle name="T_Book1" xfId="3486"/>
    <cellStyle name="T_Book1 2" xfId="3487"/>
    <cellStyle name="T_Book1 3" xfId="3488"/>
    <cellStyle name="T_Book1_!1 1 bao cao giao KH ve HTCMT vung TNB   12-12-2011" xfId="3489"/>
    <cellStyle name="T_Book1_!1 1 bao cao giao KH ve HTCMT vung TNB   12-12-2011 2" xfId="3490"/>
    <cellStyle name="T_Book1_1" xfId="3491"/>
    <cellStyle name="T_Book1_1 2" xfId="3492"/>
    <cellStyle name="T_Book1_1_Bieu tong hop nhu cau ung 2011 da chon loc -Mien nui" xfId="3493"/>
    <cellStyle name="T_Book1_1_Bieu tong hop nhu cau ung 2011 da chon loc -Mien nui 2" xfId="3494"/>
    <cellStyle name="T_Book1_1_Bieu tong hop nhu cau ung 2011 da chon loc -Mien nui_!1 1 bao cao giao KH ve HTCMT vung TNB   12-12-2011" xfId="3495"/>
    <cellStyle name="T_Book1_1_Bieu tong hop nhu cau ung 2011 da chon loc -Mien nui_!1 1 bao cao giao KH ve HTCMT vung TNB   12-12-2011 2" xfId="3496"/>
    <cellStyle name="T_Book1_1_Bieu tong hop nhu cau ung 2011 da chon loc -Mien nui_KH TPCP vung TNB (03-1-2012)" xfId="3497"/>
    <cellStyle name="T_Book1_1_Bieu tong hop nhu cau ung 2011 da chon loc -Mien nui_KH TPCP vung TNB (03-1-2012) 2" xfId="3498"/>
    <cellStyle name="T_Book1_1_Bieu3ODA" xfId="3499"/>
    <cellStyle name="T_Book1_1_Bieu3ODA 2" xfId="3500"/>
    <cellStyle name="T_Book1_1_Bieu3ODA_!1 1 bao cao giao KH ve HTCMT vung TNB   12-12-2011" xfId="3501"/>
    <cellStyle name="T_Book1_1_Bieu3ODA_!1 1 bao cao giao KH ve HTCMT vung TNB   12-12-2011 2" xfId="3502"/>
    <cellStyle name="T_Book1_1_Bieu3ODA_KH TPCP vung TNB (03-1-2012)" xfId="3503"/>
    <cellStyle name="T_Book1_1_Bieu3ODA_KH TPCP vung TNB (03-1-2012) 2" xfId="3504"/>
    <cellStyle name="T_Book1_1_CPK" xfId="3505"/>
    <cellStyle name="T_Book1_1_CPK 2" xfId="3506"/>
    <cellStyle name="T_Book1_1_CPK_!1 1 bao cao giao KH ve HTCMT vung TNB   12-12-2011" xfId="3507"/>
    <cellStyle name="T_Book1_1_CPK_!1 1 bao cao giao KH ve HTCMT vung TNB   12-12-2011 2" xfId="3508"/>
    <cellStyle name="T_Book1_1_CPK_Bieu4HTMT" xfId="3509"/>
    <cellStyle name="T_Book1_1_CPK_Bieu4HTMT 2" xfId="3510"/>
    <cellStyle name="T_Book1_1_CPK_Bieu4HTMT_!1 1 bao cao giao KH ve HTCMT vung TNB   12-12-2011" xfId="3511"/>
    <cellStyle name="T_Book1_1_CPK_Bieu4HTMT_!1 1 bao cao giao KH ve HTCMT vung TNB   12-12-2011 2" xfId="3512"/>
    <cellStyle name="T_Book1_1_CPK_Bieu4HTMT_KH TPCP vung TNB (03-1-2012)" xfId="3513"/>
    <cellStyle name="T_Book1_1_CPK_Bieu4HTMT_KH TPCP vung TNB (03-1-2012) 2" xfId="3514"/>
    <cellStyle name="T_Book1_1_CPK_KH TPCP vung TNB (03-1-2012)" xfId="3515"/>
    <cellStyle name="T_Book1_1_CPK_KH TPCP vung TNB (03-1-2012) 2" xfId="3516"/>
    <cellStyle name="T_Book1_1_kien giang 2" xfId="3517"/>
    <cellStyle name="T_Book1_1_kien giang 2 2" xfId="3518"/>
    <cellStyle name="T_Book1_1_KH TPCP vung TNB (03-1-2012)" xfId="3519"/>
    <cellStyle name="T_Book1_1_KH TPCP vung TNB (03-1-2012) 2" xfId="3520"/>
    <cellStyle name="T_Book1_1_Luy ke von ung nam 2011 -Thoa gui ngay 12-8-2012" xfId="3521"/>
    <cellStyle name="T_Book1_1_Luy ke von ung nam 2011 -Thoa gui ngay 12-8-2012 2" xfId="3522"/>
    <cellStyle name="T_Book1_1_Luy ke von ung nam 2011 -Thoa gui ngay 12-8-2012_!1 1 bao cao giao KH ve HTCMT vung TNB   12-12-2011" xfId="3523"/>
    <cellStyle name="T_Book1_1_Luy ke von ung nam 2011 -Thoa gui ngay 12-8-2012_!1 1 bao cao giao KH ve HTCMT vung TNB   12-12-2011 2" xfId="3524"/>
    <cellStyle name="T_Book1_1_Luy ke von ung nam 2011 -Thoa gui ngay 12-8-2012_KH TPCP vung TNB (03-1-2012)" xfId="3525"/>
    <cellStyle name="T_Book1_1_Luy ke von ung nam 2011 -Thoa gui ngay 12-8-2012_KH TPCP vung TNB (03-1-2012) 2" xfId="3526"/>
    <cellStyle name="T_Book1_1_Thiet bi" xfId="3527"/>
    <cellStyle name="T_Book1_1_Thiet bi 2" xfId="3528"/>
    <cellStyle name="T_Book1_1_Thiet bi_!1 1 bao cao giao KH ve HTCMT vung TNB   12-12-2011" xfId="3529"/>
    <cellStyle name="T_Book1_1_Thiet bi_!1 1 bao cao giao KH ve HTCMT vung TNB   12-12-2011 2" xfId="3530"/>
    <cellStyle name="T_Book1_1_Thiet bi_Bieu4HTMT" xfId="3531"/>
    <cellStyle name="T_Book1_1_Thiet bi_Bieu4HTMT 2" xfId="3532"/>
    <cellStyle name="T_Book1_1_Thiet bi_Bieu4HTMT_!1 1 bao cao giao KH ve HTCMT vung TNB   12-12-2011" xfId="3533"/>
    <cellStyle name="T_Book1_1_Thiet bi_Bieu4HTMT_!1 1 bao cao giao KH ve HTCMT vung TNB   12-12-2011 2" xfId="3534"/>
    <cellStyle name="T_Book1_1_Thiet bi_Bieu4HTMT_KH TPCP vung TNB (03-1-2012)" xfId="3535"/>
    <cellStyle name="T_Book1_1_Thiet bi_Bieu4HTMT_KH TPCP vung TNB (03-1-2012) 2" xfId="3536"/>
    <cellStyle name="T_Book1_1_Thiet bi_KH TPCP vung TNB (03-1-2012)" xfId="3537"/>
    <cellStyle name="T_Book1_1_Thiet bi_KH TPCP vung TNB (03-1-2012) 2" xfId="3538"/>
    <cellStyle name="T_Book1_15_10_2013 BC nhu cau von doi ung ODA (2014-2016) ngay 15102013 Sua" xfId="3539"/>
    <cellStyle name="T_Book1_bao cao phan bo KHDT 2011(final)" xfId="3540"/>
    <cellStyle name="T_Book1_bao cao phan bo KHDT 2011(final)_BC nhu cau von doi ung ODA nganh NN (BKH)" xfId="3541"/>
    <cellStyle name="T_Book1_bao cao phan bo KHDT 2011(final)_BC Tai co cau (bieu TH)" xfId="3542"/>
    <cellStyle name="T_Book1_bao cao phan bo KHDT 2011(final)_DK 2014-2015 final" xfId="3543"/>
    <cellStyle name="T_Book1_bao cao phan bo KHDT 2011(final)_DK 2014-2015 new" xfId="3544"/>
    <cellStyle name="T_Book1_bao cao phan bo KHDT 2011(final)_DK KH CBDT 2014 11-11-2013" xfId="3545"/>
    <cellStyle name="T_Book1_bao cao phan bo KHDT 2011(final)_DK KH CBDT 2014 11-11-2013(1)" xfId="3546"/>
    <cellStyle name="T_Book1_bao cao phan bo KHDT 2011(final)_KH 2011-2015" xfId="3547"/>
    <cellStyle name="T_Book1_bao cao phan bo KHDT 2011(final)_tai co cau dau tu (tong hop)1" xfId="3548"/>
    <cellStyle name="T_Book1_BC NQ11-CP - chinh sua lai" xfId="3549"/>
    <cellStyle name="T_Book1_BC NQ11-CP - chinh sua lai 2" xfId="3550"/>
    <cellStyle name="T_Book1_BC NQ11-CP-Quynh sau bieu so3" xfId="3551"/>
    <cellStyle name="T_Book1_BC NQ11-CP-Quynh sau bieu so3 2" xfId="3552"/>
    <cellStyle name="T_Book1_BC nhu cau von doi ung ODA nganh NN (BKH)" xfId="3553"/>
    <cellStyle name="T_Book1_BC nhu cau von doi ung ODA nganh NN (BKH)_05-12  KH trung han 2016-2020 - Liem Thinh edited" xfId="3554"/>
    <cellStyle name="T_Book1_BC nhu cau von doi ung ODA nganh NN (BKH)_Copy of 05-12  KH trung han 2016-2020 - Liem Thinh edited (1)" xfId="3555"/>
    <cellStyle name="T_Book1_BC Tai co cau (bieu TH)" xfId="3556"/>
    <cellStyle name="T_Book1_BC Tai co cau (bieu TH)_05-12  KH trung han 2016-2020 - Liem Thinh edited" xfId="3557"/>
    <cellStyle name="T_Book1_BC Tai co cau (bieu TH)_Copy of 05-12  KH trung han 2016-2020 - Liem Thinh edited (1)" xfId="3558"/>
    <cellStyle name="T_Book1_BC_NQ11-CP_-_Thao_sua_lai" xfId="3559"/>
    <cellStyle name="T_Book1_BC_NQ11-CP_-_Thao_sua_lai 2" xfId="3560"/>
    <cellStyle name="T_Book1_Bieu mau cong trinh khoi cong moi 3-4" xfId="3561"/>
    <cellStyle name="T_Book1_Bieu mau cong trinh khoi cong moi 3-4 2" xfId="3562"/>
    <cellStyle name="T_Book1_Bieu mau cong trinh khoi cong moi 3-4_!1 1 bao cao giao KH ve HTCMT vung TNB   12-12-2011" xfId="3563"/>
    <cellStyle name="T_Book1_Bieu mau cong trinh khoi cong moi 3-4_!1 1 bao cao giao KH ve HTCMT vung TNB   12-12-2011 2" xfId="3564"/>
    <cellStyle name="T_Book1_Bieu mau cong trinh khoi cong moi 3-4_KH TPCP vung TNB (03-1-2012)" xfId="3565"/>
    <cellStyle name="T_Book1_Bieu mau cong trinh khoi cong moi 3-4_KH TPCP vung TNB (03-1-2012) 2" xfId="3566"/>
    <cellStyle name="T_Book1_Bieu mau danh muc du an thuoc CTMTQG nam 2008" xfId="3567"/>
    <cellStyle name="T_Book1_Bieu mau danh muc du an thuoc CTMTQG nam 2008 2" xfId="3568"/>
    <cellStyle name="T_Book1_Bieu mau danh muc du an thuoc CTMTQG nam 2008_!1 1 bao cao giao KH ve HTCMT vung TNB   12-12-2011" xfId="3569"/>
    <cellStyle name="T_Book1_Bieu mau danh muc du an thuoc CTMTQG nam 2008_!1 1 bao cao giao KH ve HTCMT vung TNB   12-12-2011 2" xfId="3570"/>
    <cellStyle name="T_Book1_Bieu mau danh muc du an thuoc CTMTQG nam 2008_KH TPCP vung TNB (03-1-2012)" xfId="3571"/>
    <cellStyle name="T_Book1_Bieu mau danh muc du an thuoc CTMTQG nam 2008_KH TPCP vung TNB (03-1-2012) 2" xfId="3572"/>
    <cellStyle name="T_Book1_Bieu tong hop nhu cau ung 2011 da chon loc -Mien nui" xfId="3573"/>
    <cellStyle name="T_Book1_Bieu tong hop nhu cau ung 2011 da chon loc -Mien nui 2" xfId="3574"/>
    <cellStyle name="T_Book1_Bieu tong hop nhu cau ung 2011 da chon loc -Mien nui_!1 1 bao cao giao KH ve HTCMT vung TNB   12-12-2011" xfId="3575"/>
    <cellStyle name="T_Book1_Bieu tong hop nhu cau ung 2011 da chon loc -Mien nui_!1 1 bao cao giao KH ve HTCMT vung TNB   12-12-2011 2" xfId="3576"/>
    <cellStyle name="T_Book1_Bieu tong hop nhu cau ung 2011 da chon loc -Mien nui_KH TPCP vung TNB (03-1-2012)" xfId="3577"/>
    <cellStyle name="T_Book1_Bieu tong hop nhu cau ung 2011 da chon loc -Mien nui_KH TPCP vung TNB (03-1-2012) 2" xfId="3578"/>
    <cellStyle name="T_Book1_Bieu3ODA" xfId="3579"/>
    <cellStyle name="T_Book1_Bieu3ODA 2" xfId="3580"/>
    <cellStyle name="T_Book1_Bieu3ODA_!1 1 bao cao giao KH ve HTCMT vung TNB   12-12-2011" xfId="3581"/>
    <cellStyle name="T_Book1_Bieu3ODA_!1 1 bao cao giao KH ve HTCMT vung TNB   12-12-2011 2" xfId="3582"/>
    <cellStyle name="T_Book1_Bieu3ODA_1" xfId="3583"/>
    <cellStyle name="T_Book1_Bieu3ODA_1 2" xfId="3584"/>
    <cellStyle name="T_Book1_Bieu3ODA_1_!1 1 bao cao giao KH ve HTCMT vung TNB   12-12-2011" xfId="3585"/>
    <cellStyle name="T_Book1_Bieu3ODA_1_!1 1 bao cao giao KH ve HTCMT vung TNB   12-12-2011 2" xfId="3586"/>
    <cellStyle name="T_Book1_Bieu3ODA_1_KH TPCP vung TNB (03-1-2012)" xfId="3587"/>
    <cellStyle name="T_Book1_Bieu3ODA_1_KH TPCP vung TNB (03-1-2012) 2" xfId="3588"/>
    <cellStyle name="T_Book1_Bieu3ODA_KH TPCP vung TNB (03-1-2012)" xfId="3589"/>
    <cellStyle name="T_Book1_Bieu3ODA_KH TPCP vung TNB (03-1-2012) 2" xfId="3590"/>
    <cellStyle name="T_Book1_Bieu4HTMT" xfId="3591"/>
    <cellStyle name="T_Book1_Bieu4HTMT 2" xfId="3592"/>
    <cellStyle name="T_Book1_Bieu4HTMT_!1 1 bao cao giao KH ve HTCMT vung TNB   12-12-2011" xfId="3593"/>
    <cellStyle name="T_Book1_Bieu4HTMT_!1 1 bao cao giao KH ve HTCMT vung TNB   12-12-2011 2" xfId="3594"/>
    <cellStyle name="T_Book1_Bieu4HTMT_KH TPCP vung TNB (03-1-2012)" xfId="3595"/>
    <cellStyle name="T_Book1_Bieu4HTMT_KH TPCP vung TNB (03-1-2012) 2" xfId="3596"/>
    <cellStyle name="T_Book1_Book1" xfId="3597"/>
    <cellStyle name="T_Book1_Book1 2" xfId="3598"/>
    <cellStyle name="T_Book1_Cong trinh co y kien LD_Dang_NN_2011-Tay nguyen-9-10" xfId="3599"/>
    <cellStyle name="T_Book1_Cong trinh co y kien LD_Dang_NN_2011-Tay nguyen-9-10 2" xfId="3600"/>
    <cellStyle name="T_Book1_Cong trinh co y kien LD_Dang_NN_2011-Tay nguyen-9-10_!1 1 bao cao giao KH ve HTCMT vung TNB   12-12-2011" xfId="3601"/>
    <cellStyle name="T_Book1_Cong trinh co y kien LD_Dang_NN_2011-Tay nguyen-9-10_!1 1 bao cao giao KH ve HTCMT vung TNB   12-12-2011 2" xfId="3602"/>
    <cellStyle name="T_Book1_Cong trinh co y kien LD_Dang_NN_2011-Tay nguyen-9-10_Bieu4HTMT" xfId="3603"/>
    <cellStyle name="T_Book1_Cong trinh co y kien LD_Dang_NN_2011-Tay nguyen-9-10_Bieu4HTMT 2" xfId="3604"/>
    <cellStyle name="T_Book1_Cong trinh co y kien LD_Dang_NN_2011-Tay nguyen-9-10_KH TPCP vung TNB (03-1-2012)" xfId="3605"/>
    <cellStyle name="T_Book1_Cong trinh co y kien LD_Dang_NN_2011-Tay nguyen-9-10_KH TPCP vung TNB (03-1-2012) 2" xfId="3606"/>
    <cellStyle name="T_Book1_CPK" xfId="3607"/>
    <cellStyle name="T_Book1_CPK 2" xfId="3608"/>
    <cellStyle name="T_Book1_danh muc chuan bi dau tu 2011 ngay 07-6-2011" xfId="3609"/>
    <cellStyle name="T_Book1_danh muc chuan bi dau tu 2011 ngay 07-6-2011 2" xfId="3610"/>
    <cellStyle name="T_Book1_dieu chinh KH 2011 ngay 26-5-2011111" xfId="3611"/>
    <cellStyle name="T_Book1_dieu chinh KH 2011 ngay 26-5-2011111 2" xfId="3612"/>
    <cellStyle name="T_Book1_DK 2014-2015 final" xfId="3613"/>
    <cellStyle name="T_Book1_DK 2014-2015 final_05-12  KH trung han 2016-2020 - Liem Thinh edited" xfId="3614"/>
    <cellStyle name="T_Book1_DK 2014-2015 final_Copy of 05-12  KH trung han 2016-2020 - Liem Thinh edited (1)" xfId="3615"/>
    <cellStyle name="T_Book1_DK 2014-2015 new" xfId="3616"/>
    <cellStyle name="T_Book1_DK 2014-2015 new_05-12  KH trung han 2016-2020 - Liem Thinh edited" xfId="3617"/>
    <cellStyle name="T_Book1_DK 2014-2015 new_Copy of 05-12  KH trung han 2016-2020 - Liem Thinh edited (1)" xfId="3618"/>
    <cellStyle name="T_Book1_DK KH CBDT 2014 11-11-2013" xfId="3619"/>
    <cellStyle name="T_Book1_DK KH CBDT 2014 11-11-2013(1)" xfId="3620"/>
    <cellStyle name="T_Book1_DK KH CBDT 2014 11-11-2013(1)_05-12  KH trung han 2016-2020 - Liem Thinh edited" xfId="3621"/>
    <cellStyle name="T_Book1_DK KH CBDT 2014 11-11-2013(1)_Copy of 05-12  KH trung han 2016-2020 - Liem Thinh edited (1)" xfId="3622"/>
    <cellStyle name="T_Book1_DK KH CBDT 2014 11-11-2013_05-12  KH trung han 2016-2020 - Liem Thinh edited" xfId="3623"/>
    <cellStyle name="T_Book1_DK KH CBDT 2014 11-11-2013_Copy of 05-12  KH trung han 2016-2020 - Liem Thinh edited (1)" xfId="3624"/>
    <cellStyle name="T_Book1_Du an khoi cong moi nam 2010" xfId="3625"/>
    <cellStyle name="T_Book1_Du an khoi cong moi nam 2010 2" xfId="3626"/>
    <cellStyle name="T_Book1_Du an khoi cong moi nam 2010_!1 1 bao cao giao KH ve HTCMT vung TNB   12-12-2011" xfId="3627"/>
    <cellStyle name="T_Book1_Du an khoi cong moi nam 2010_!1 1 bao cao giao KH ve HTCMT vung TNB   12-12-2011 2" xfId="3628"/>
    <cellStyle name="T_Book1_Du an khoi cong moi nam 2010_KH TPCP vung TNB (03-1-2012)" xfId="3629"/>
    <cellStyle name="T_Book1_Du an khoi cong moi nam 2010_KH TPCP vung TNB (03-1-2012) 2" xfId="3630"/>
    <cellStyle name="T_Book1_giao KH 2011 ngay 10-12-2010" xfId="3631"/>
    <cellStyle name="T_Book1_giao KH 2011 ngay 10-12-2010 2" xfId="3632"/>
    <cellStyle name="T_Book1_Hang Tom goi9 9-07(Cau 12 sua)" xfId="3633"/>
    <cellStyle name="T_Book1_Hang Tom goi9 9-07(Cau 12 sua) 2" xfId="3634"/>
    <cellStyle name="T_Book1_Ket qua phan bo von nam 2008" xfId="3635"/>
    <cellStyle name="T_Book1_Ket qua phan bo von nam 2008 2" xfId="3636"/>
    <cellStyle name="T_Book1_Ket qua phan bo von nam 2008_!1 1 bao cao giao KH ve HTCMT vung TNB   12-12-2011" xfId="3637"/>
    <cellStyle name="T_Book1_Ket qua phan bo von nam 2008_!1 1 bao cao giao KH ve HTCMT vung TNB   12-12-2011 2" xfId="3638"/>
    <cellStyle name="T_Book1_Ket qua phan bo von nam 2008_KH TPCP vung TNB (03-1-2012)" xfId="3639"/>
    <cellStyle name="T_Book1_Ket qua phan bo von nam 2008_KH TPCP vung TNB (03-1-2012) 2" xfId="3640"/>
    <cellStyle name="T_Book1_kien giang 2" xfId="3641"/>
    <cellStyle name="T_Book1_kien giang 2 2" xfId="3642"/>
    <cellStyle name="T_Book1_KH TPCP vung TNB (03-1-2012)" xfId="3643"/>
    <cellStyle name="T_Book1_KH TPCP vung TNB (03-1-2012) 2" xfId="3644"/>
    <cellStyle name="T_Book1_KH XDCB_2008 lan 2 sua ngay 10-11" xfId="3645"/>
    <cellStyle name="T_Book1_KH XDCB_2008 lan 2 sua ngay 10-11 2" xfId="3646"/>
    <cellStyle name="T_Book1_KH XDCB_2008 lan 2 sua ngay 10-11_!1 1 bao cao giao KH ve HTCMT vung TNB   12-12-2011" xfId="3647"/>
    <cellStyle name="T_Book1_KH XDCB_2008 lan 2 sua ngay 10-11_!1 1 bao cao giao KH ve HTCMT vung TNB   12-12-2011 2" xfId="3648"/>
    <cellStyle name="T_Book1_KH XDCB_2008 lan 2 sua ngay 10-11_KH TPCP vung TNB (03-1-2012)" xfId="3649"/>
    <cellStyle name="T_Book1_KH XDCB_2008 lan 2 sua ngay 10-11_KH TPCP vung TNB (03-1-2012) 2" xfId="3650"/>
    <cellStyle name="T_Book1_Khoi luong chinh Hang Tom" xfId="3651"/>
    <cellStyle name="T_Book1_Khoi luong chinh Hang Tom 2" xfId="3652"/>
    <cellStyle name="T_Book1_Luy ke von ung nam 2011 -Thoa gui ngay 12-8-2012" xfId="3653"/>
    <cellStyle name="T_Book1_Luy ke von ung nam 2011 -Thoa gui ngay 12-8-2012 2" xfId="3654"/>
    <cellStyle name="T_Book1_Luy ke von ung nam 2011 -Thoa gui ngay 12-8-2012_!1 1 bao cao giao KH ve HTCMT vung TNB   12-12-2011" xfId="3655"/>
    <cellStyle name="T_Book1_Luy ke von ung nam 2011 -Thoa gui ngay 12-8-2012_!1 1 bao cao giao KH ve HTCMT vung TNB   12-12-2011 2" xfId="3656"/>
    <cellStyle name="T_Book1_Luy ke von ung nam 2011 -Thoa gui ngay 12-8-2012_KH TPCP vung TNB (03-1-2012)" xfId="3657"/>
    <cellStyle name="T_Book1_Luy ke von ung nam 2011 -Thoa gui ngay 12-8-2012_KH TPCP vung TNB (03-1-2012) 2" xfId="3658"/>
    <cellStyle name="T_Book1_Nhu cau von ung truoc 2011 Tha h Hoa + Nge An gui TW" xfId="3659"/>
    <cellStyle name="T_Book1_Nhu cau von ung truoc 2011 Tha h Hoa + Nge An gui TW 2" xfId="3660"/>
    <cellStyle name="T_Book1_Nhu cau von ung truoc 2011 Tha h Hoa + Nge An gui TW_!1 1 bao cao giao KH ve HTCMT vung TNB   12-12-2011" xfId="3661"/>
    <cellStyle name="T_Book1_Nhu cau von ung truoc 2011 Tha h Hoa + Nge An gui TW_!1 1 bao cao giao KH ve HTCMT vung TNB   12-12-2011 2" xfId="3662"/>
    <cellStyle name="T_Book1_Nhu cau von ung truoc 2011 Tha h Hoa + Nge An gui TW_Bieu4HTMT" xfId="3663"/>
    <cellStyle name="T_Book1_Nhu cau von ung truoc 2011 Tha h Hoa + Nge An gui TW_Bieu4HTMT 2" xfId="3664"/>
    <cellStyle name="T_Book1_Nhu cau von ung truoc 2011 Tha h Hoa + Nge An gui TW_Bieu4HTMT_!1 1 bao cao giao KH ve HTCMT vung TNB   12-12-2011" xfId="3665"/>
    <cellStyle name="T_Book1_Nhu cau von ung truoc 2011 Tha h Hoa + Nge An gui TW_Bieu4HTMT_!1 1 bao cao giao KH ve HTCMT vung TNB   12-12-2011 2" xfId="3666"/>
    <cellStyle name="T_Book1_Nhu cau von ung truoc 2011 Tha h Hoa + Nge An gui TW_Bieu4HTMT_KH TPCP vung TNB (03-1-2012)" xfId="3667"/>
    <cellStyle name="T_Book1_Nhu cau von ung truoc 2011 Tha h Hoa + Nge An gui TW_Bieu4HTMT_KH TPCP vung TNB (03-1-2012) 2" xfId="3668"/>
    <cellStyle name="T_Book1_Nhu cau von ung truoc 2011 Tha h Hoa + Nge An gui TW_KH TPCP vung TNB (03-1-2012)" xfId="3669"/>
    <cellStyle name="T_Book1_Nhu cau von ung truoc 2011 Tha h Hoa + Nge An gui TW_KH TPCP vung TNB (03-1-2012) 2" xfId="3670"/>
    <cellStyle name="T_Book1_phu luc tong ket tinh hinh TH giai doan 03-10 (ngay 30)" xfId="3671"/>
    <cellStyle name="T_Book1_phu luc tong ket tinh hinh TH giai doan 03-10 (ngay 30) 2" xfId="3672"/>
    <cellStyle name="T_Book1_phu luc tong ket tinh hinh TH giai doan 03-10 (ngay 30)_!1 1 bao cao giao KH ve HTCMT vung TNB   12-12-2011" xfId="3673"/>
    <cellStyle name="T_Book1_phu luc tong ket tinh hinh TH giai doan 03-10 (ngay 30)_!1 1 bao cao giao KH ve HTCMT vung TNB   12-12-2011 2" xfId="3674"/>
    <cellStyle name="T_Book1_phu luc tong ket tinh hinh TH giai doan 03-10 (ngay 30)_KH TPCP vung TNB (03-1-2012)" xfId="3675"/>
    <cellStyle name="T_Book1_phu luc tong ket tinh hinh TH giai doan 03-10 (ngay 30)_KH TPCP vung TNB (03-1-2012) 2" xfId="3676"/>
    <cellStyle name="T_Book1_TN - Ho tro khac 2011" xfId="3677"/>
    <cellStyle name="T_Book1_TN - Ho tro khac 2011 2" xfId="3678"/>
    <cellStyle name="T_Book1_TN - Ho tro khac 2011_!1 1 bao cao giao KH ve HTCMT vung TNB   12-12-2011" xfId="3679"/>
    <cellStyle name="T_Book1_TN - Ho tro khac 2011_!1 1 bao cao giao KH ve HTCMT vung TNB   12-12-2011 2" xfId="3680"/>
    <cellStyle name="T_Book1_TN - Ho tro khac 2011_Bieu4HTMT" xfId="3681"/>
    <cellStyle name="T_Book1_TN - Ho tro khac 2011_Bieu4HTMT 2" xfId="3682"/>
    <cellStyle name="T_Book1_TN - Ho tro khac 2011_KH TPCP vung TNB (03-1-2012)" xfId="3683"/>
    <cellStyle name="T_Book1_TN - Ho tro khac 2011_KH TPCP vung TNB (03-1-2012) 2" xfId="3684"/>
    <cellStyle name="T_Book1_TH ung tren 70%-Ra soat phap ly-8-6 (dung de chuyen vao vu TH)" xfId="3685"/>
    <cellStyle name="T_Book1_TH ung tren 70%-Ra soat phap ly-8-6 (dung de chuyen vao vu TH) 2" xfId="3686"/>
    <cellStyle name="T_Book1_TH ung tren 70%-Ra soat phap ly-8-6 (dung de chuyen vao vu TH)_!1 1 bao cao giao KH ve HTCMT vung TNB   12-12-2011" xfId="3687"/>
    <cellStyle name="T_Book1_TH ung tren 70%-Ra soat phap ly-8-6 (dung de chuyen vao vu TH)_!1 1 bao cao giao KH ve HTCMT vung TNB   12-12-2011 2" xfId="3688"/>
    <cellStyle name="T_Book1_TH ung tren 70%-Ra soat phap ly-8-6 (dung de chuyen vao vu TH)_Bieu4HTMT" xfId="3689"/>
    <cellStyle name="T_Book1_TH ung tren 70%-Ra soat phap ly-8-6 (dung de chuyen vao vu TH)_Bieu4HTMT 2" xfId="3690"/>
    <cellStyle name="T_Book1_TH ung tren 70%-Ra soat phap ly-8-6 (dung de chuyen vao vu TH)_KH TPCP vung TNB (03-1-2012)" xfId="3691"/>
    <cellStyle name="T_Book1_TH ung tren 70%-Ra soat phap ly-8-6 (dung de chuyen vao vu TH)_KH TPCP vung TNB (03-1-2012) 2" xfId="3692"/>
    <cellStyle name="T_Book1_TH y kien LD_KH 2010 Ca Nuoc 22-9-2011-Gui ca Vu" xfId="3693"/>
    <cellStyle name="T_Book1_TH y kien LD_KH 2010 Ca Nuoc 22-9-2011-Gui ca Vu 2" xfId="3694"/>
    <cellStyle name="T_Book1_TH y kien LD_KH 2010 Ca Nuoc 22-9-2011-Gui ca Vu_!1 1 bao cao giao KH ve HTCMT vung TNB   12-12-2011" xfId="3695"/>
    <cellStyle name="T_Book1_TH y kien LD_KH 2010 Ca Nuoc 22-9-2011-Gui ca Vu_!1 1 bao cao giao KH ve HTCMT vung TNB   12-12-2011 2" xfId="3696"/>
    <cellStyle name="T_Book1_TH y kien LD_KH 2010 Ca Nuoc 22-9-2011-Gui ca Vu_Bieu4HTMT" xfId="3697"/>
    <cellStyle name="T_Book1_TH y kien LD_KH 2010 Ca Nuoc 22-9-2011-Gui ca Vu_Bieu4HTMT 2" xfId="3698"/>
    <cellStyle name="T_Book1_TH y kien LD_KH 2010 Ca Nuoc 22-9-2011-Gui ca Vu_KH TPCP vung TNB (03-1-2012)" xfId="3699"/>
    <cellStyle name="T_Book1_TH y kien LD_KH 2010 Ca Nuoc 22-9-2011-Gui ca Vu_KH TPCP vung TNB (03-1-2012) 2" xfId="3700"/>
    <cellStyle name="T_Book1_Thiet bi" xfId="3701"/>
    <cellStyle name="T_Book1_Thiet bi 2" xfId="3702"/>
    <cellStyle name="T_Book1_ung truoc 2011 NSTW Thanh Hoa + Nge An gui Thu 12-5" xfId="3703"/>
    <cellStyle name="T_Book1_ung truoc 2011 NSTW Thanh Hoa + Nge An gui Thu 12-5 2" xfId="3704"/>
    <cellStyle name="T_Book1_ung truoc 2011 NSTW Thanh Hoa + Nge An gui Thu 12-5_!1 1 bao cao giao KH ve HTCMT vung TNB   12-12-2011" xfId="3705"/>
    <cellStyle name="T_Book1_ung truoc 2011 NSTW Thanh Hoa + Nge An gui Thu 12-5_!1 1 bao cao giao KH ve HTCMT vung TNB   12-12-2011 2" xfId="3706"/>
    <cellStyle name="T_Book1_ung truoc 2011 NSTW Thanh Hoa + Nge An gui Thu 12-5_Bieu4HTMT" xfId="3707"/>
    <cellStyle name="T_Book1_ung truoc 2011 NSTW Thanh Hoa + Nge An gui Thu 12-5_Bieu4HTMT 2" xfId="3708"/>
    <cellStyle name="T_Book1_ung truoc 2011 NSTW Thanh Hoa + Nge An gui Thu 12-5_Bieu4HTMT_!1 1 bao cao giao KH ve HTCMT vung TNB   12-12-2011" xfId="3709"/>
    <cellStyle name="T_Book1_ung truoc 2011 NSTW Thanh Hoa + Nge An gui Thu 12-5_Bieu4HTMT_!1 1 bao cao giao KH ve HTCMT vung TNB   12-12-2011 2" xfId="3710"/>
    <cellStyle name="T_Book1_ung truoc 2011 NSTW Thanh Hoa + Nge An gui Thu 12-5_Bieu4HTMT_KH TPCP vung TNB (03-1-2012)" xfId="3711"/>
    <cellStyle name="T_Book1_ung truoc 2011 NSTW Thanh Hoa + Nge An gui Thu 12-5_Bieu4HTMT_KH TPCP vung TNB (03-1-2012) 2" xfId="3712"/>
    <cellStyle name="T_Book1_ung truoc 2011 NSTW Thanh Hoa + Nge An gui Thu 12-5_KH TPCP vung TNB (03-1-2012)" xfId="3713"/>
    <cellStyle name="T_Book1_ung truoc 2011 NSTW Thanh Hoa + Nge An gui Thu 12-5_KH TPCP vung TNB (03-1-2012) 2" xfId="3714"/>
    <cellStyle name="T_Book1_ÿÿÿÿÿ" xfId="3715"/>
    <cellStyle name="T_Book1_ÿÿÿÿÿ 2" xfId="3716"/>
    <cellStyle name="T_Copy of Bao cao  XDCB 7 thang nam 2008_So KH&amp;DT SUA" xfId="3717"/>
    <cellStyle name="T_Copy of Bao cao  XDCB 7 thang nam 2008_So KH&amp;DT SUA 2" xfId="3718"/>
    <cellStyle name="T_Copy of Bao cao  XDCB 7 thang nam 2008_So KH&amp;DT SUA_!1 1 bao cao giao KH ve HTCMT vung TNB   12-12-2011" xfId="3719"/>
    <cellStyle name="T_Copy of Bao cao  XDCB 7 thang nam 2008_So KH&amp;DT SUA_!1 1 bao cao giao KH ve HTCMT vung TNB   12-12-2011 2" xfId="3720"/>
    <cellStyle name="T_Copy of Bao cao  XDCB 7 thang nam 2008_So KH&amp;DT SUA_KH TPCP vung TNB (03-1-2012)" xfId="3721"/>
    <cellStyle name="T_Copy of Bao cao  XDCB 7 thang nam 2008_So KH&amp;DT SUA_KH TPCP vung TNB (03-1-2012) 2" xfId="3722"/>
    <cellStyle name="T_CPK" xfId="3723"/>
    <cellStyle name="T_CPK 2" xfId="3724"/>
    <cellStyle name="T_CPK_!1 1 bao cao giao KH ve HTCMT vung TNB   12-12-2011" xfId="3725"/>
    <cellStyle name="T_CPK_!1 1 bao cao giao KH ve HTCMT vung TNB   12-12-2011 2" xfId="3726"/>
    <cellStyle name="T_CPK_Bieu4HTMT" xfId="3727"/>
    <cellStyle name="T_CPK_Bieu4HTMT 2" xfId="3728"/>
    <cellStyle name="T_CPK_Bieu4HTMT_!1 1 bao cao giao KH ve HTCMT vung TNB   12-12-2011" xfId="3729"/>
    <cellStyle name="T_CPK_Bieu4HTMT_!1 1 bao cao giao KH ve HTCMT vung TNB   12-12-2011 2" xfId="3730"/>
    <cellStyle name="T_CPK_Bieu4HTMT_KH TPCP vung TNB (03-1-2012)" xfId="3731"/>
    <cellStyle name="T_CPK_Bieu4HTMT_KH TPCP vung TNB (03-1-2012) 2" xfId="3732"/>
    <cellStyle name="T_CPK_KH TPCP vung TNB (03-1-2012)" xfId="3733"/>
    <cellStyle name="T_CPK_KH TPCP vung TNB (03-1-2012) 2" xfId="3734"/>
    <cellStyle name="T_CTMTQG 2008" xfId="3735"/>
    <cellStyle name="T_CTMTQG 2008 2" xfId="3736"/>
    <cellStyle name="T_CTMTQG 2008_!1 1 bao cao giao KH ve HTCMT vung TNB   12-12-2011" xfId="3737"/>
    <cellStyle name="T_CTMTQG 2008_!1 1 bao cao giao KH ve HTCMT vung TNB   12-12-2011 2" xfId="3738"/>
    <cellStyle name="T_CTMTQG 2008_Bieu mau danh muc du an thuoc CTMTQG nam 2008" xfId="3739"/>
    <cellStyle name="T_CTMTQG 2008_Bieu mau danh muc du an thuoc CTMTQG nam 2008 2" xfId="3740"/>
    <cellStyle name="T_CTMTQG 2008_Bieu mau danh muc du an thuoc CTMTQG nam 2008_!1 1 bao cao giao KH ve HTCMT vung TNB   12-12-2011" xfId="3741"/>
    <cellStyle name="T_CTMTQG 2008_Bieu mau danh muc du an thuoc CTMTQG nam 2008_!1 1 bao cao giao KH ve HTCMT vung TNB   12-12-2011 2" xfId="3742"/>
    <cellStyle name="T_CTMTQG 2008_Bieu mau danh muc du an thuoc CTMTQG nam 2008_KH TPCP vung TNB (03-1-2012)" xfId="3743"/>
    <cellStyle name="T_CTMTQG 2008_Bieu mau danh muc du an thuoc CTMTQG nam 2008_KH TPCP vung TNB (03-1-2012) 2" xfId="3744"/>
    <cellStyle name="T_CTMTQG 2008_Hi-Tong hop KQ phan bo KH nam 08- LD fong giao 15-11-08" xfId="3745"/>
    <cellStyle name="T_CTMTQG 2008_Hi-Tong hop KQ phan bo KH nam 08- LD fong giao 15-11-08 2" xfId="3746"/>
    <cellStyle name="T_CTMTQG 2008_Hi-Tong hop KQ phan bo KH nam 08- LD fong giao 15-11-08_!1 1 bao cao giao KH ve HTCMT vung TNB   12-12-2011" xfId="3747"/>
    <cellStyle name="T_CTMTQG 2008_Hi-Tong hop KQ phan bo KH nam 08- LD fong giao 15-11-08_!1 1 bao cao giao KH ve HTCMT vung TNB   12-12-2011 2" xfId="3748"/>
    <cellStyle name="T_CTMTQG 2008_Hi-Tong hop KQ phan bo KH nam 08- LD fong giao 15-11-08_KH TPCP vung TNB (03-1-2012)" xfId="3749"/>
    <cellStyle name="T_CTMTQG 2008_Hi-Tong hop KQ phan bo KH nam 08- LD fong giao 15-11-08_KH TPCP vung TNB (03-1-2012) 2" xfId="3750"/>
    <cellStyle name="T_CTMTQG 2008_Ket qua thuc hien nam 2008" xfId="3751"/>
    <cellStyle name="T_CTMTQG 2008_Ket qua thuc hien nam 2008 2" xfId="3752"/>
    <cellStyle name="T_CTMTQG 2008_Ket qua thuc hien nam 2008_!1 1 bao cao giao KH ve HTCMT vung TNB   12-12-2011" xfId="3753"/>
    <cellStyle name="T_CTMTQG 2008_Ket qua thuc hien nam 2008_!1 1 bao cao giao KH ve HTCMT vung TNB   12-12-2011 2" xfId="3754"/>
    <cellStyle name="T_CTMTQG 2008_Ket qua thuc hien nam 2008_KH TPCP vung TNB (03-1-2012)" xfId="3755"/>
    <cellStyle name="T_CTMTQG 2008_Ket qua thuc hien nam 2008_KH TPCP vung TNB (03-1-2012) 2" xfId="3756"/>
    <cellStyle name="T_CTMTQG 2008_KH TPCP vung TNB (03-1-2012)" xfId="3757"/>
    <cellStyle name="T_CTMTQG 2008_KH TPCP vung TNB (03-1-2012) 2" xfId="3758"/>
    <cellStyle name="T_CTMTQG 2008_KH XDCB_2008 lan 1" xfId="3759"/>
    <cellStyle name="T_CTMTQG 2008_KH XDCB_2008 lan 1 2" xfId="3760"/>
    <cellStyle name="T_CTMTQG 2008_KH XDCB_2008 lan 1 sua ngay 27-10" xfId="3761"/>
    <cellStyle name="T_CTMTQG 2008_KH XDCB_2008 lan 1 sua ngay 27-10 2" xfId="3762"/>
    <cellStyle name="T_CTMTQG 2008_KH XDCB_2008 lan 1 sua ngay 27-10_!1 1 bao cao giao KH ve HTCMT vung TNB   12-12-2011" xfId="3763"/>
    <cellStyle name="T_CTMTQG 2008_KH XDCB_2008 lan 1 sua ngay 27-10_!1 1 bao cao giao KH ve HTCMT vung TNB   12-12-2011 2" xfId="3764"/>
    <cellStyle name="T_CTMTQG 2008_KH XDCB_2008 lan 1 sua ngay 27-10_KH TPCP vung TNB (03-1-2012)" xfId="3765"/>
    <cellStyle name="T_CTMTQG 2008_KH XDCB_2008 lan 1 sua ngay 27-10_KH TPCP vung TNB (03-1-2012) 2" xfId="3766"/>
    <cellStyle name="T_CTMTQG 2008_KH XDCB_2008 lan 1_!1 1 bao cao giao KH ve HTCMT vung TNB   12-12-2011" xfId="3767"/>
    <cellStyle name="T_CTMTQG 2008_KH XDCB_2008 lan 1_!1 1 bao cao giao KH ve HTCMT vung TNB   12-12-2011 2" xfId="3768"/>
    <cellStyle name="T_CTMTQG 2008_KH XDCB_2008 lan 1_KH TPCP vung TNB (03-1-2012)" xfId="3769"/>
    <cellStyle name="T_CTMTQG 2008_KH XDCB_2008 lan 1_KH TPCP vung TNB (03-1-2012) 2" xfId="3770"/>
    <cellStyle name="T_CTMTQG 2008_KH XDCB_2008 lan 2 sua ngay 10-11" xfId="3771"/>
    <cellStyle name="T_CTMTQG 2008_KH XDCB_2008 lan 2 sua ngay 10-11 2" xfId="3772"/>
    <cellStyle name="T_CTMTQG 2008_KH XDCB_2008 lan 2 sua ngay 10-11_!1 1 bao cao giao KH ve HTCMT vung TNB   12-12-2011" xfId="3773"/>
    <cellStyle name="T_CTMTQG 2008_KH XDCB_2008 lan 2 sua ngay 10-11_!1 1 bao cao giao KH ve HTCMT vung TNB   12-12-2011 2" xfId="3774"/>
    <cellStyle name="T_CTMTQG 2008_KH XDCB_2008 lan 2 sua ngay 10-11_KH TPCP vung TNB (03-1-2012)" xfId="3775"/>
    <cellStyle name="T_CTMTQG 2008_KH XDCB_2008 lan 2 sua ngay 10-11_KH TPCP vung TNB (03-1-2012) 2" xfId="3776"/>
    <cellStyle name="T_Chuan bi dau tu nam 2008" xfId="3777"/>
    <cellStyle name="T_Chuan bi dau tu nam 2008 2" xfId="3778"/>
    <cellStyle name="T_Chuan bi dau tu nam 2008_!1 1 bao cao giao KH ve HTCMT vung TNB   12-12-2011" xfId="3779"/>
    <cellStyle name="T_Chuan bi dau tu nam 2008_!1 1 bao cao giao KH ve HTCMT vung TNB   12-12-2011 2" xfId="3780"/>
    <cellStyle name="T_Chuan bi dau tu nam 2008_KH TPCP vung TNB (03-1-2012)" xfId="3781"/>
    <cellStyle name="T_Chuan bi dau tu nam 2008_KH TPCP vung TNB (03-1-2012) 2" xfId="3782"/>
    <cellStyle name="T_danh muc chuan bi dau tu 2011 ngay 07-6-2011" xfId="3783"/>
    <cellStyle name="T_danh muc chuan bi dau tu 2011 ngay 07-6-2011 2" xfId="3784"/>
    <cellStyle name="T_danh muc chuan bi dau tu 2011 ngay 07-6-2011_!1 1 bao cao giao KH ve HTCMT vung TNB   12-12-2011" xfId="3785"/>
    <cellStyle name="T_danh muc chuan bi dau tu 2011 ngay 07-6-2011_!1 1 bao cao giao KH ve HTCMT vung TNB   12-12-2011 2" xfId="3786"/>
    <cellStyle name="T_danh muc chuan bi dau tu 2011 ngay 07-6-2011_KH TPCP vung TNB (03-1-2012)" xfId="3787"/>
    <cellStyle name="T_danh muc chuan bi dau tu 2011 ngay 07-6-2011_KH TPCP vung TNB (03-1-2012) 2" xfId="3788"/>
    <cellStyle name="T_Danh muc pbo nguon von XSKT, XDCB nam 2009 chuyen qua nam 2010" xfId="3789"/>
    <cellStyle name="T_Danh muc pbo nguon von XSKT, XDCB nam 2009 chuyen qua nam 2010 2" xfId="3790"/>
    <cellStyle name="T_Danh muc pbo nguon von XSKT, XDCB nam 2009 chuyen qua nam 2010_!1 1 bao cao giao KH ve HTCMT vung TNB   12-12-2011" xfId="3791"/>
    <cellStyle name="T_Danh muc pbo nguon von XSKT, XDCB nam 2009 chuyen qua nam 2010_!1 1 bao cao giao KH ve HTCMT vung TNB   12-12-2011 2" xfId="3792"/>
    <cellStyle name="T_Danh muc pbo nguon von XSKT, XDCB nam 2009 chuyen qua nam 2010_KH TPCP vung TNB (03-1-2012)" xfId="3793"/>
    <cellStyle name="T_Danh muc pbo nguon von XSKT, XDCB nam 2009 chuyen qua nam 2010_KH TPCP vung TNB (03-1-2012) 2" xfId="3794"/>
    <cellStyle name="T_dieu chinh KH 2011 ngay 26-5-2011111" xfId="3795"/>
    <cellStyle name="T_dieu chinh KH 2011 ngay 26-5-2011111 2" xfId="3796"/>
    <cellStyle name="T_dieu chinh KH 2011 ngay 26-5-2011111_!1 1 bao cao giao KH ve HTCMT vung TNB   12-12-2011" xfId="3797"/>
    <cellStyle name="T_dieu chinh KH 2011 ngay 26-5-2011111_!1 1 bao cao giao KH ve HTCMT vung TNB   12-12-2011 2" xfId="3798"/>
    <cellStyle name="T_dieu chinh KH 2011 ngay 26-5-2011111_KH TPCP vung TNB (03-1-2012)" xfId="3799"/>
    <cellStyle name="T_dieu chinh KH 2011 ngay 26-5-2011111_KH TPCP vung TNB (03-1-2012) 2" xfId="3800"/>
    <cellStyle name="T_DK 2014-2015 final" xfId="3801"/>
    <cellStyle name="T_DK 2014-2015 final_05-12  KH trung han 2016-2020 - Liem Thinh edited" xfId="3802"/>
    <cellStyle name="T_DK 2014-2015 final_Copy of 05-12  KH trung han 2016-2020 - Liem Thinh edited (1)" xfId="3803"/>
    <cellStyle name="T_DK 2014-2015 new" xfId="3804"/>
    <cellStyle name="T_DK 2014-2015 new_05-12  KH trung han 2016-2020 - Liem Thinh edited" xfId="3805"/>
    <cellStyle name="T_DK 2014-2015 new_Copy of 05-12  KH trung han 2016-2020 - Liem Thinh edited (1)" xfId="3806"/>
    <cellStyle name="T_DK KH CBDT 2014 11-11-2013" xfId="3807"/>
    <cellStyle name="T_DK KH CBDT 2014 11-11-2013(1)" xfId="3808"/>
    <cellStyle name="T_DK KH CBDT 2014 11-11-2013(1)_05-12  KH trung han 2016-2020 - Liem Thinh edited" xfId="3809"/>
    <cellStyle name="T_DK KH CBDT 2014 11-11-2013(1)_Copy of 05-12  KH trung han 2016-2020 - Liem Thinh edited (1)" xfId="3810"/>
    <cellStyle name="T_DK KH CBDT 2014 11-11-2013_05-12  KH trung han 2016-2020 - Liem Thinh edited" xfId="3811"/>
    <cellStyle name="T_DK KH CBDT 2014 11-11-2013_Copy of 05-12  KH trung han 2016-2020 - Liem Thinh edited (1)" xfId="3812"/>
    <cellStyle name="T_DS KCH PHAN BO VON NSDP NAM 2010" xfId="3813"/>
    <cellStyle name="T_DS KCH PHAN BO VON NSDP NAM 2010 2" xfId="3814"/>
    <cellStyle name="T_DS KCH PHAN BO VON NSDP NAM 2010_!1 1 bao cao giao KH ve HTCMT vung TNB   12-12-2011" xfId="3815"/>
    <cellStyle name="T_DS KCH PHAN BO VON NSDP NAM 2010_!1 1 bao cao giao KH ve HTCMT vung TNB   12-12-2011 2" xfId="3816"/>
    <cellStyle name="T_DS KCH PHAN BO VON NSDP NAM 2010_KH TPCP vung TNB (03-1-2012)" xfId="3817"/>
    <cellStyle name="T_DS KCH PHAN BO VON NSDP NAM 2010_KH TPCP vung TNB (03-1-2012) 2" xfId="3818"/>
    <cellStyle name="T_Du an khoi cong moi nam 2010" xfId="3819"/>
    <cellStyle name="T_Du an khoi cong moi nam 2010 2" xfId="3820"/>
    <cellStyle name="T_Du an khoi cong moi nam 2010_!1 1 bao cao giao KH ve HTCMT vung TNB   12-12-2011" xfId="3821"/>
    <cellStyle name="T_Du an khoi cong moi nam 2010_!1 1 bao cao giao KH ve HTCMT vung TNB   12-12-2011 2" xfId="3822"/>
    <cellStyle name="T_Du an khoi cong moi nam 2010_KH TPCP vung TNB (03-1-2012)" xfId="3823"/>
    <cellStyle name="T_Du an khoi cong moi nam 2010_KH TPCP vung TNB (03-1-2012) 2" xfId="3824"/>
    <cellStyle name="T_DU AN TKQH VA CHUAN BI DAU TU NAM 2007 sua ngay 9-11" xfId="3825"/>
    <cellStyle name="T_DU AN TKQH VA CHUAN BI DAU TU NAM 2007 sua ngay 9-11 2" xfId="3826"/>
    <cellStyle name="T_DU AN TKQH VA CHUAN BI DAU TU NAM 2007 sua ngay 9-11_!1 1 bao cao giao KH ve HTCMT vung TNB   12-12-2011" xfId="3827"/>
    <cellStyle name="T_DU AN TKQH VA CHUAN BI DAU TU NAM 2007 sua ngay 9-11_!1 1 bao cao giao KH ve HTCMT vung TNB   12-12-2011 2" xfId="3828"/>
    <cellStyle name="T_DU AN TKQH VA CHUAN BI DAU TU NAM 2007 sua ngay 9-11_Bieu mau danh muc du an thuoc CTMTQG nam 2008" xfId="3829"/>
    <cellStyle name="T_DU AN TKQH VA CHUAN BI DAU TU NAM 2007 sua ngay 9-11_Bieu mau danh muc du an thuoc CTMTQG nam 2008 2" xfId="3830"/>
    <cellStyle name="T_DU AN TKQH VA CHUAN BI DAU TU NAM 2007 sua ngay 9-11_Bieu mau danh muc du an thuoc CTMTQG nam 2008_!1 1 bao cao giao KH ve HTCMT vung TNB   12-12-2011" xfId="3831"/>
    <cellStyle name="T_DU AN TKQH VA CHUAN BI DAU TU NAM 2007 sua ngay 9-11_Bieu mau danh muc du an thuoc CTMTQG nam 2008_!1 1 bao cao giao KH ve HTCMT vung TNB   12-12-2011 2" xfId="3832"/>
    <cellStyle name="T_DU AN TKQH VA CHUAN BI DAU TU NAM 2007 sua ngay 9-11_Bieu mau danh muc du an thuoc CTMTQG nam 2008_KH TPCP vung TNB (03-1-2012)" xfId="3833"/>
    <cellStyle name="T_DU AN TKQH VA CHUAN BI DAU TU NAM 2007 sua ngay 9-11_Bieu mau danh muc du an thuoc CTMTQG nam 2008_KH TPCP vung TNB (03-1-2012) 2" xfId="3834"/>
    <cellStyle name="T_DU AN TKQH VA CHUAN BI DAU TU NAM 2007 sua ngay 9-11_Du an khoi cong moi nam 2010" xfId="3835"/>
    <cellStyle name="T_DU AN TKQH VA CHUAN BI DAU TU NAM 2007 sua ngay 9-11_Du an khoi cong moi nam 2010 2" xfId="3836"/>
    <cellStyle name="T_DU AN TKQH VA CHUAN BI DAU TU NAM 2007 sua ngay 9-11_Du an khoi cong moi nam 2010_!1 1 bao cao giao KH ve HTCMT vung TNB   12-12-2011" xfId="3837"/>
    <cellStyle name="T_DU AN TKQH VA CHUAN BI DAU TU NAM 2007 sua ngay 9-11_Du an khoi cong moi nam 2010_!1 1 bao cao giao KH ve HTCMT vung TNB   12-12-2011 2" xfId="3838"/>
    <cellStyle name="T_DU AN TKQH VA CHUAN BI DAU TU NAM 2007 sua ngay 9-11_Du an khoi cong moi nam 2010_KH TPCP vung TNB (03-1-2012)" xfId="3839"/>
    <cellStyle name="T_DU AN TKQH VA CHUAN BI DAU TU NAM 2007 sua ngay 9-11_Du an khoi cong moi nam 2010_KH TPCP vung TNB (03-1-2012) 2" xfId="3840"/>
    <cellStyle name="T_DU AN TKQH VA CHUAN BI DAU TU NAM 2007 sua ngay 9-11_Ket qua phan bo von nam 2008" xfId="3841"/>
    <cellStyle name="T_DU AN TKQH VA CHUAN BI DAU TU NAM 2007 sua ngay 9-11_Ket qua phan bo von nam 2008 2" xfId="3842"/>
    <cellStyle name="T_DU AN TKQH VA CHUAN BI DAU TU NAM 2007 sua ngay 9-11_Ket qua phan bo von nam 2008_!1 1 bao cao giao KH ve HTCMT vung TNB   12-12-2011" xfId="3843"/>
    <cellStyle name="T_DU AN TKQH VA CHUAN BI DAU TU NAM 2007 sua ngay 9-11_Ket qua phan bo von nam 2008_!1 1 bao cao giao KH ve HTCMT vung TNB   12-12-2011 2" xfId="3844"/>
    <cellStyle name="T_DU AN TKQH VA CHUAN BI DAU TU NAM 2007 sua ngay 9-11_Ket qua phan bo von nam 2008_KH TPCP vung TNB (03-1-2012)" xfId="3845"/>
    <cellStyle name="T_DU AN TKQH VA CHUAN BI DAU TU NAM 2007 sua ngay 9-11_Ket qua phan bo von nam 2008_KH TPCP vung TNB (03-1-2012) 2" xfId="3846"/>
    <cellStyle name="T_DU AN TKQH VA CHUAN BI DAU TU NAM 2007 sua ngay 9-11_KH TPCP vung TNB (03-1-2012)" xfId="3847"/>
    <cellStyle name="T_DU AN TKQH VA CHUAN BI DAU TU NAM 2007 sua ngay 9-11_KH TPCP vung TNB (03-1-2012) 2" xfId="3848"/>
    <cellStyle name="T_DU AN TKQH VA CHUAN BI DAU TU NAM 2007 sua ngay 9-11_KH XDCB_2008 lan 2 sua ngay 10-11" xfId="3849"/>
    <cellStyle name="T_DU AN TKQH VA CHUAN BI DAU TU NAM 2007 sua ngay 9-11_KH XDCB_2008 lan 2 sua ngay 10-11 2" xfId="3850"/>
    <cellStyle name="T_DU AN TKQH VA CHUAN BI DAU TU NAM 2007 sua ngay 9-11_KH XDCB_2008 lan 2 sua ngay 10-11_!1 1 bao cao giao KH ve HTCMT vung TNB   12-12-2011" xfId="3851"/>
    <cellStyle name="T_DU AN TKQH VA CHUAN BI DAU TU NAM 2007 sua ngay 9-11_KH XDCB_2008 lan 2 sua ngay 10-11_!1 1 bao cao giao KH ve HTCMT vung TNB   12-12-2011 2" xfId="3852"/>
    <cellStyle name="T_DU AN TKQH VA CHUAN BI DAU TU NAM 2007 sua ngay 9-11_KH XDCB_2008 lan 2 sua ngay 10-11_KH TPCP vung TNB (03-1-2012)" xfId="3853"/>
    <cellStyle name="T_DU AN TKQH VA CHUAN BI DAU TU NAM 2007 sua ngay 9-11_KH XDCB_2008 lan 2 sua ngay 10-11_KH TPCP vung TNB (03-1-2012) 2" xfId="3854"/>
    <cellStyle name="T_du toan dieu chinh  20-8-2006" xfId="3855"/>
    <cellStyle name="T_du toan dieu chinh  20-8-2006 2" xfId="3856"/>
    <cellStyle name="T_du toan dieu chinh  20-8-2006_!1 1 bao cao giao KH ve HTCMT vung TNB   12-12-2011" xfId="3857"/>
    <cellStyle name="T_du toan dieu chinh  20-8-2006_!1 1 bao cao giao KH ve HTCMT vung TNB   12-12-2011 2" xfId="3858"/>
    <cellStyle name="T_du toan dieu chinh  20-8-2006_Bieu4HTMT" xfId="3859"/>
    <cellStyle name="T_du toan dieu chinh  20-8-2006_Bieu4HTMT 2" xfId="3860"/>
    <cellStyle name="T_du toan dieu chinh  20-8-2006_Bieu4HTMT_!1 1 bao cao giao KH ve HTCMT vung TNB   12-12-2011" xfId="3861"/>
    <cellStyle name="T_du toan dieu chinh  20-8-2006_Bieu4HTMT_!1 1 bao cao giao KH ve HTCMT vung TNB   12-12-2011 2" xfId="3862"/>
    <cellStyle name="T_du toan dieu chinh  20-8-2006_Bieu4HTMT_KH TPCP vung TNB (03-1-2012)" xfId="3863"/>
    <cellStyle name="T_du toan dieu chinh  20-8-2006_Bieu4HTMT_KH TPCP vung TNB (03-1-2012) 2" xfId="3864"/>
    <cellStyle name="T_du toan dieu chinh  20-8-2006_KH TPCP vung TNB (03-1-2012)" xfId="3865"/>
    <cellStyle name="T_du toan dieu chinh  20-8-2006_KH TPCP vung TNB (03-1-2012) 2" xfId="3866"/>
    <cellStyle name="T_giao KH 2011 ngay 10-12-2010" xfId="3867"/>
    <cellStyle name="T_giao KH 2011 ngay 10-12-2010 2" xfId="3868"/>
    <cellStyle name="T_giao KH 2011 ngay 10-12-2010_!1 1 bao cao giao KH ve HTCMT vung TNB   12-12-2011" xfId="3869"/>
    <cellStyle name="T_giao KH 2011 ngay 10-12-2010_!1 1 bao cao giao KH ve HTCMT vung TNB   12-12-2011 2" xfId="3870"/>
    <cellStyle name="T_giao KH 2011 ngay 10-12-2010_KH TPCP vung TNB (03-1-2012)" xfId="3871"/>
    <cellStyle name="T_giao KH 2011 ngay 10-12-2010_KH TPCP vung TNB (03-1-2012) 2" xfId="3872"/>
    <cellStyle name="T_Ht-PTq1-03" xfId="3873"/>
    <cellStyle name="T_Ht-PTq1-03 2" xfId="3874"/>
    <cellStyle name="T_Ht-PTq1-03_!1 1 bao cao giao KH ve HTCMT vung TNB   12-12-2011" xfId="3875"/>
    <cellStyle name="T_Ht-PTq1-03_!1 1 bao cao giao KH ve HTCMT vung TNB   12-12-2011 2" xfId="3876"/>
    <cellStyle name="T_Ht-PTq1-03_kien giang 2" xfId="3877"/>
    <cellStyle name="T_Ht-PTq1-03_kien giang 2 2" xfId="3878"/>
    <cellStyle name="T_Ke hoach KTXH  nam 2009_PKT thang 11 nam 2008" xfId="3879"/>
    <cellStyle name="T_Ke hoach KTXH  nam 2009_PKT thang 11 nam 2008 2" xfId="3880"/>
    <cellStyle name="T_Ke hoach KTXH  nam 2009_PKT thang 11 nam 2008_!1 1 bao cao giao KH ve HTCMT vung TNB   12-12-2011" xfId="3881"/>
    <cellStyle name="T_Ke hoach KTXH  nam 2009_PKT thang 11 nam 2008_!1 1 bao cao giao KH ve HTCMT vung TNB   12-12-2011 2" xfId="3882"/>
    <cellStyle name="T_Ke hoach KTXH  nam 2009_PKT thang 11 nam 2008_KH TPCP vung TNB (03-1-2012)" xfId="3883"/>
    <cellStyle name="T_Ke hoach KTXH  nam 2009_PKT thang 11 nam 2008_KH TPCP vung TNB (03-1-2012) 2" xfId="3884"/>
    <cellStyle name="T_Ket qua dau thau" xfId="3885"/>
    <cellStyle name="T_Ket qua dau thau 2" xfId="3886"/>
    <cellStyle name="T_Ket qua dau thau_!1 1 bao cao giao KH ve HTCMT vung TNB   12-12-2011" xfId="3887"/>
    <cellStyle name="T_Ket qua dau thau_!1 1 bao cao giao KH ve HTCMT vung TNB   12-12-2011 2" xfId="3888"/>
    <cellStyle name="T_Ket qua dau thau_KH TPCP vung TNB (03-1-2012)" xfId="3889"/>
    <cellStyle name="T_Ket qua dau thau_KH TPCP vung TNB (03-1-2012) 2" xfId="3890"/>
    <cellStyle name="T_Ket qua phan bo von nam 2008" xfId="3891"/>
    <cellStyle name="T_Ket qua phan bo von nam 2008 2" xfId="3892"/>
    <cellStyle name="T_Ket qua phan bo von nam 2008_!1 1 bao cao giao KH ve HTCMT vung TNB   12-12-2011" xfId="3893"/>
    <cellStyle name="T_Ket qua phan bo von nam 2008_!1 1 bao cao giao KH ve HTCMT vung TNB   12-12-2011 2" xfId="3894"/>
    <cellStyle name="T_Ket qua phan bo von nam 2008_KH TPCP vung TNB (03-1-2012)" xfId="3895"/>
    <cellStyle name="T_Ket qua phan bo von nam 2008_KH TPCP vung TNB (03-1-2012) 2" xfId="3896"/>
    <cellStyle name="T_kien giang 2" xfId="3897"/>
    <cellStyle name="T_kien giang 2 2" xfId="3898"/>
    <cellStyle name="T_KH 2011-2015" xfId="3899"/>
    <cellStyle name="T_KH TPCP vung TNB (03-1-2012)" xfId="3900"/>
    <cellStyle name="T_KH TPCP vung TNB (03-1-2012) 2" xfId="3901"/>
    <cellStyle name="T_KH XDCB_2008 lan 2 sua ngay 10-11" xfId="3902"/>
    <cellStyle name="T_KH XDCB_2008 lan 2 sua ngay 10-11 2" xfId="3903"/>
    <cellStyle name="T_KH XDCB_2008 lan 2 sua ngay 10-11_!1 1 bao cao giao KH ve HTCMT vung TNB   12-12-2011" xfId="3904"/>
    <cellStyle name="T_KH XDCB_2008 lan 2 sua ngay 10-11_!1 1 bao cao giao KH ve HTCMT vung TNB   12-12-2011 2" xfId="3905"/>
    <cellStyle name="T_KH XDCB_2008 lan 2 sua ngay 10-11_KH TPCP vung TNB (03-1-2012)" xfId="3906"/>
    <cellStyle name="T_KH XDCB_2008 lan 2 sua ngay 10-11_KH TPCP vung TNB (03-1-2012) 2" xfId="3907"/>
    <cellStyle name="T_Me_Tri_6_07" xfId="3908"/>
    <cellStyle name="T_Me_Tri_6_07 2" xfId="3909"/>
    <cellStyle name="T_Me_Tri_6_07_!1 1 bao cao giao KH ve HTCMT vung TNB   12-12-2011" xfId="3910"/>
    <cellStyle name="T_Me_Tri_6_07_!1 1 bao cao giao KH ve HTCMT vung TNB   12-12-2011 2" xfId="3911"/>
    <cellStyle name="T_Me_Tri_6_07_Bieu4HTMT" xfId="3912"/>
    <cellStyle name="T_Me_Tri_6_07_Bieu4HTMT 2" xfId="3913"/>
    <cellStyle name="T_Me_Tri_6_07_Bieu4HTMT_!1 1 bao cao giao KH ve HTCMT vung TNB   12-12-2011" xfId="3914"/>
    <cellStyle name="T_Me_Tri_6_07_Bieu4HTMT_!1 1 bao cao giao KH ve HTCMT vung TNB   12-12-2011 2" xfId="3915"/>
    <cellStyle name="T_Me_Tri_6_07_Bieu4HTMT_KH TPCP vung TNB (03-1-2012)" xfId="3916"/>
    <cellStyle name="T_Me_Tri_6_07_Bieu4HTMT_KH TPCP vung TNB (03-1-2012) 2" xfId="3917"/>
    <cellStyle name="T_Me_Tri_6_07_KH TPCP vung TNB (03-1-2012)" xfId="3918"/>
    <cellStyle name="T_Me_Tri_6_07_KH TPCP vung TNB (03-1-2012) 2" xfId="3919"/>
    <cellStyle name="T_N2 thay dat (N1-1)" xfId="3920"/>
    <cellStyle name="T_N2 thay dat (N1-1) 2" xfId="3921"/>
    <cellStyle name="T_N2 thay dat (N1-1)_!1 1 bao cao giao KH ve HTCMT vung TNB   12-12-2011" xfId="3922"/>
    <cellStyle name="T_N2 thay dat (N1-1)_!1 1 bao cao giao KH ve HTCMT vung TNB   12-12-2011 2" xfId="3923"/>
    <cellStyle name="T_N2 thay dat (N1-1)_Bieu4HTMT" xfId="3924"/>
    <cellStyle name="T_N2 thay dat (N1-1)_Bieu4HTMT 2" xfId="3925"/>
    <cellStyle name="T_N2 thay dat (N1-1)_Bieu4HTMT_!1 1 bao cao giao KH ve HTCMT vung TNB   12-12-2011" xfId="3926"/>
    <cellStyle name="T_N2 thay dat (N1-1)_Bieu4HTMT_!1 1 bao cao giao KH ve HTCMT vung TNB   12-12-2011 2" xfId="3927"/>
    <cellStyle name="T_N2 thay dat (N1-1)_Bieu4HTMT_KH TPCP vung TNB (03-1-2012)" xfId="3928"/>
    <cellStyle name="T_N2 thay dat (N1-1)_Bieu4HTMT_KH TPCP vung TNB (03-1-2012) 2" xfId="3929"/>
    <cellStyle name="T_N2 thay dat (N1-1)_KH TPCP vung TNB (03-1-2012)" xfId="3930"/>
    <cellStyle name="T_N2 thay dat (N1-1)_KH TPCP vung TNB (03-1-2012) 2" xfId="3931"/>
    <cellStyle name="T_Phuong an can doi nam 2008" xfId="3932"/>
    <cellStyle name="T_Phuong an can doi nam 2008 2" xfId="3933"/>
    <cellStyle name="T_Phuong an can doi nam 2008_!1 1 bao cao giao KH ve HTCMT vung TNB   12-12-2011" xfId="3934"/>
    <cellStyle name="T_Phuong an can doi nam 2008_!1 1 bao cao giao KH ve HTCMT vung TNB   12-12-2011 2" xfId="3935"/>
    <cellStyle name="T_Phuong an can doi nam 2008_KH TPCP vung TNB (03-1-2012)" xfId="3936"/>
    <cellStyle name="T_Phuong an can doi nam 2008_KH TPCP vung TNB (03-1-2012) 2" xfId="3937"/>
    <cellStyle name="T_Seagame(BTL)" xfId="3938"/>
    <cellStyle name="T_Seagame(BTL) 2" xfId="3939"/>
    <cellStyle name="T_So GTVT" xfId="3940"/>
    <cellStyle name="T_So GTVT 2" xfId="3941"/>
    <cellStyle name="T_So GTVT_!1 1 bao cao giao KH ve HTCMT vung TNB   12-12-2011" xfId="3942"/>
    <cellStyle name="T_So GTVT_!1 1 bao cao giao KH ve HTCMT vung TNB   12-12-2011 2" xfId="3943"/>
    <cellStyle name="T_So GTVT_KH TPCP vung TNB (03-1-2012)" xfId="3944"/>
    <cellStyle name="T_So GTVT_KH TPCP vung TNB (03-1-2012) 2" xfId="3945"/>
    <cellStyle name="T_tai co cau dau tu (tong hop)1" xfId="3946"/>
    <cellStyle name="T_TDT + duong(8-5-07)" xfId="3947"/>
    <cellStyle name="T_TDT + duong(8-5-07) 2" xfId="3948"/>
    <cellStyle name="T_TDT + duong(8-5-07)_!1 1 bao cao giao KH ve HTCMT vung TNB   12-12-2011" xfId="3949"/>
    <cellStyle name="T_TDT + duong(8-5-07)_!1 1 bao cao giao KH ve HTCMT vung TNB   12-12-2011 2" xfId="3950"/>
    <cellStyle name="T_TDT + duong(8-5-07)_Bieu4HTMT" xfId="3951"/>
    <cellStyle name="T_TDT + duong(8-5-07)_Bieu4HTMT 2" xfId="3952"/>
    <cellStyle name="T_TDT + duong(8-5-07)_Bieu4HTMT_!1 1 bao cao giao KH ve HTCMT vung TNB   12-12-2011" xfId="3953"/>
    <cellStyle name="T_TDT + duong(8-5-07)_Bieu4HTMT_!1 1 bao cao giao KH ve HTCMT vung TNB   12-12-2011 2" xfId="3954"/>
    <cellStyle name="T_TDT + duong(8-5-07)_Bieu4HTMT_KH TPCP vung TNB (03-1-2012)" xfId="3955"/>
    <cellStyle name="T_TDT + duong(8-5-07)_Bieu4HTMT_KH TPCP vung TNB (03-1-2012) 2" xfId="3956"/>
    <cellStyle name="T_TDT + duong(8-5-07)_KH TPCP vung TNB (03-1-2012)" xfId="3957"/>
    <cellStyle name="T_TDT + duong(8-5-07)_KH TPCP vung TNB (03-1-2012) 2" xfId="3958"/>
    <cellStyle name="T_TK_HT" xfId="3959"/>
    <cellStyle name="T_TK_HT 2" xfId="3960"/>
    <cellStyle name="T_tham_tra_du_toan" xfId="3961"/>
    <cellStyle name="T_tham_tra_du_toan 2" xfId="3962"/>
    <cellStyle name="T_tham_tra_du_toan_!1 1 bao cao giao KH ve HTCMT vung TNB   12-12-2011" xfId="3963"/>
    <cellStyle name="T_tham_tra_du_toan_!1 1 bao cao giao KH ve HTCMT vung TNB   12-12-2011 2" xfId="3964"/>
    <cellStyle name="T_tham_tra_du_toan_Bieu4HTMT" xfId="3965"/>
    <cellStyle name="T_tham_tra_du_toan_Bieu4HTMT 2" xfId="3966"/>
    <cellStyle name="T_tham_tra_du_toan_Bieu4HTMT_!1 1 bao cao giao KH ve HTCMT vung TNB   12-12-2011" xfId="3967"/>
    <cellStyle name="T_tham_tra_du_toan_Bieu4HTMT_!1 1 bao cao giao KH ve HTCMT vung TNB   12-12-2011 2" xfId="3968"/>
    <cellStyle name="T_tham_tra_du_toan_Bieu4HTMT_KH TPCP vung TNB (03-1-2012)" xfId="3969"/>
    <cellStyle name="T_tham_tra_du_toan_Bieu4HTMT_KH TPCP vung TNB (03-1-2012) 2" xfId="3970"/>
    <cellStyle name="T_tham_tra_du_toan_KH TPCP vung TNB (03-1-2012)" xfId="3971"/>
    <cellStyle name="T_tham_tra_du_toan_KH TPCP vung TNB (03-1-2012) 2" xfId="3972"/>
    <cellStyle name="T_Thiet bi" xfId="3973"/>
    <cellStyle name="T_Thiet bi 2" xfId="3974"/>
    <cellStyle name="T_Thiet bi_!1 1 bao cao giao KH ve HTCMT vung TNB   12-12-2011" xfId="3975"/>
    <cellStyle name="T_Thiet bi_!1 1 bao cao giao KH ve HTCMT vung TNB   12-12-2011 2" xfId="3976"/>
    <cellStyle name="T_Thiet bi_Bieu4HTMT" xfId="3977"/>
    <cellStyle name="T_Thiet bi_Bieu4HTMT 2" xfId="3978"/>
    <cellStyle name="T_Thiet bi_Bieu4HTMT_!1 1 bao cao giao KH ve HTCMT vung TNB   12-12-2011" xfId="3979"/>
    <cellStyle name="T_Thiet bi_Bieu4HTMT_!1 1 bao cao giao KH ve HTCMT vung TNB   12-12-2011 2" xfId="3980"/>
    <cellStyle name="T_Thiet bi_Bieu4HTMT_KH TPCP vung TNB (03-1-2012)" xfId="3981"/>
    <cellStyle name="T_Thiet bi_Bieu4HTMT_KH TPCP vung TNB (03-1-2012) 2" xfId="3982"/>
    <cellStyle name="T_Thiet bi_KH TPCP vung TNB (03-1-2012)" xfId="3983"/>
    <cellStyle name="T_Thiet bi_KH TPCP vung TNB (03-1-2012) 2" xfId="3984"/>
    <cellStyle name="T_Van Ban 2007" xfId="3985"/>
    <cellStyle name="T_Van Ban 2007_15_10_2013 BC nhu cau von doi ung ODA (2014-2016) ngay 15102013 Sua" xfId="3986"/>
    <cellStyle name="T_Van Ban 2007_bao cao phan bo KHDT 2011(final)" xfId="3987"/>
    <cellStyle name="T_Van Ban 2007_bao cao phan bo KHDT 2011(final)_BC nhu cau von doi ung ODA nganh NN (BKH)" xfId="3988"/>
    <cellStyle name="T_Van Ban 2007_bao cao phan bo KHDT 2011(final)_BC Tai co cau (bieu TH)" xfId="3989"/>
    <cellStyle name="T_Van Ban 2007_bao cao phan bo KHDT 2011(final)_DK 2014-2015 final" xfId="3990"/>
    <cellStyle name="T_Van Ban 2007_bao cao phan bo KHDT 2011(final)_DK 2014-2015 new" xfId="3991"/>
    <cellStyle name="T_Van Ban 2007_bao cao phan bo KHDT 2011(final)_DK KH CBDT 2014 11-11-2013" xfId="3992"/>
    <cellStyle name="T_Van Ban 2007_bao cao phan bo KHDT 2011(final)_DK KH CBDT 2014 11-11-2013(1)" xfId="3993"/>
    <cellStyle name="T_Van Ban 2007_bao cao phan bo KHDT 2011(final)_KH 2011-2015" xfId="3994"/>
    <cellStyle name="T_Van Ban 2007_bao cao phan bo KHDT 2011(final)_tai co cau dau tu (tong hop)1" xfId="3995"/>
    <cellStyle name="T_Van Ban 2007_BC nhu cau von doi ung ODA nganh NN (BKH)" xfId="3996"/>
    <cellStyle name="T_Van Ban 2007_BC nhu cau von doi ung ODA nganh NN (BKH)_05-12  KH trung han 2016-2020 - Liem Thinh edited" xfId="3997"/>
    <cellStyle name="T_Van Ban 2007_BC nhu cau von doi ung ODA nganh NN (BKH)_Copy of 05-12  KH trung han 2016-2020 - Liem Thinh edited (1)" xfId="3998"/>
    <cellStyle name="T_Van Ban 2007_BC Tai co cau (bieu TH)" xfId="3999"/>
    <cellStyle name="T_Van Ban 2007_BC Tai co cau (bieu TH)_05-12  KH trung han 2016-2020 - Liem Thinh edited" xfId="4000"/>
    <cellStyle name="T_Van Ban 2007_BC Tai co cau (bieu TH)_Copy of 05-12  KH trung han 2016-2020 - Liem Thinh edited (1)" xfId="4001"/>
    <cellStyle name="T_Van Ban 2007_DK 2014-2015 final" xfId="4002"/>
    <cellStyle name="T_Van Ban 2007_DK 2014-2015 final_05-12  KH trung han 2016-2020 - Liem Thinh edited" xfId="4003"/>
    <cellStyle name="T_Van Ban 2007_DK 2014-2015 final_Copy of 05-12  KH trung han 2016-2020 - Liem Thinh edited (1)" xfId="4004"/>
    <cellStyle name="T_Van Ban 2007_DK 2014-2015 new" xfId="4005"/>
    <cellStyle name="T_Van Ban 2007_DK 2014-2015 new_05-12  KH trung han 2016-2020 - Liem Thinh edited" xfId="4006"/>
    <cellStyle name="T_Van Ban 2007_DK 2014-2015 new_Copy of 05-12  KH trung han 2016-2020 - Liem Thinh edited (1)" xfId="4007"/>
    <cellStyle name="T_Van Ban 2007_DK KH CBDT 2014 11-11-2013" xfId="4008"/>
    <cellStyle name="T_Van Ban 2007_DK KH CBDT 2014 11-11-2013(1)" xfId="4009"/>
    <cellStyle name="T_Van Ban 2007_DK KH CBDT 2014 11-11-2013(1)_05-12  KH trung han 2016-2020 - Liem Thinh edited" xfId="4010"/>
    <cellStyle name="T_Van Ban 2007_DK KH CBDT 2014 11-11-2013(1)_Copy of 05-12  KH trung han 2016-2020 - Liem Thinh edited (1)" xfId="4011"/>
    <cellStyle name="T_Van Ban 2007_DK KH CBDT 2014 11-11-2013_05-12  KH trung han 2016-2020 - Liem Thinh edited" xfId="4012"/>
    <cellStyle name="T_Van Ban 2007_DK KH CBDT 2014 11-11-2013_Copy of 05-12  KH trung han 2016-2020 - Liem Thinh edited (1)" xfId="4013"/>
    <cellStyle name="T_Van Ban 2008" xfId="4014"/>
    <cellStyle name="T_Van Ban 2008_15_10_2013 BC nhu cau von doi ung ODA (2014-2016) ngay 15102013 Sua" xfId="4015"/>
    <cellStyle name="T_Van Ban 2008_bao cao phan bo KHDT 2011(final)" xfId="4016"/>
    <cellStyle name="T_Van Ban 2008_bao cao phan bo KHDT 2011(final)_BC nhu cau von doi ung ODA nganh NN (BKH)" xfId="4017"/>
    <cellStyle name="T_Van Ban 2008_bao cao phan bo KHDT 2011(final)_BC Tai co cau (bieu TH)" xfId="4018"/>
    <cellStyle name="T_Van Ban 2008_bao cao phan bo KHDT 2011(final)_DK 2014-2015 final" xfId="4019"/>
    <cellStyle name="T_Van Ban 2008_bao cao phan bo KHDT 2011(final)_DK 2014-2015 new" xfId="4020"/>
    <cellStyle name="T_Van Ban 2008_bao cao phan bo KHDT 2011(final)_DK KH CBDT 2014 11-11-2013" xfId="4021"/>
    <cellStyle name="T_Van Ban 2008_bao cao phan bo KHDT 2011(final)_DK KH CBDT 2014 11-11-2013(1)" xfId="4022"/>
    <cellStyle name="T_Van Ban 2008_bao cao phan bo KHDT 2011(final)_KH 2011-2015" xfId="4023"/>
    <cellStyle name="T_Van Ban 2008_bao cao phan bo KHDT 2011(final)_tai co cau dau tu (tong hop)1" xfId="4024"/>
    <cellStyle name="T_Van Ban 2008_BC nhu cau von doi ung ODA nganh NN (BKH)" xfId="4025"/>
    <cellStyle name="T_Van Ban 2008_BC nhu cau von doi ung ODA nganh NN (BKH)_05-12  KH trung han 2016-2020 - Liem Thinh edited" xfId="4026"/>
    <cellStyle name="T_Van Ban 2008_BC nhu cau von doi ung ODA nganh NN (BKH)_Copy of 05-12  KH trung han 2016-2020 - Liem Thinh edited (1)" xfId="4027"/>
    <cellStyle name="T_Van Ban 2008_BC Tai co cau (bieu TH)" xfId="4028"/>
    <cellStyle name="T_Van Ban 2008_BC Tai co cau (bieu TH)_05-12  KH trung han 2016-2020 - Liem Thinh edited" xfId="4029"/>
    <cellStyle name="T_Van Ban 2008_BC Tai co cau (bieu TH)_Copy of 05-12  KH trung han 2016-2020 - Liem Thinh edited (1)" xfId="4030"/>
    <cellStyle name="T_Van Ban 2008_DK 2014-2015 final" xfId="4031"/>
    <cellStyle name="T_Van Ban 2008_DK 2014-2015 final_05-12  KH trung han 2016-2020 - Liem Thinh edited" xfId="4032"/>
    <cellStyle name="T_Van Ban 2008_DK 2014-2015 final_Copy of 05-12  KH trung han 2016-2020 - Liem Thinh edited (1)" xfId="4033"/>
    <cellStyle name="T_Van Ban 2008_DK 2014-2015 new" xfId="4034"/>
    <cellStyle name="T_Van Ban 2008_DK 2014-2015 new_05-12  KH trung han 2016-2020 - Liem Thinh edited" xfId="4035"/>
    <cellStyle name="T_Van Ban 2008_DK 2014-2015 new_Copy of 05-12  KH trung han 2016-2020 - Liem Thinh edited (1)" xfId="4036"/>
    <cellStyle name="T_Van Ban 2008_DK KH CBDT 2014 11-11-2013" xfId="4037"/>
    <cellStyle name="T_Van Ban 2008_DK KH CBDT 2014 11-11-2013(1)" xfId="4038"/>
    <cellStyle name="T_Van Ban 2008_DK KH CBDT 2014 11-11-2013(1)_05-12  KH trung han 2016-2020 - Liem Thinh edited" xfId="4039"/>
    <cellStyle name="T_Van Ban 2008_DK KH CBDT 2014 11-11-2013(1)_Copy of 05-12  KH trung han 2016-2020 - Liem Thinh edited (1)" xfId="4040"/>
    <cellStyle name="T_Van Ban 2008_DK KH CBDT 2014 11-11-2013_05-12  KH trung han 2016-2020 - Liem Thinh edited" xfId="4041"/>
    <cellStyle name="T_Van Ban 2008_DK KH CBDT 2014 11-11-2013_Copy of 05-12  KH trung han 2016-2020 - Liem Thinh edited (1)" xfId="4042"/>
    <cellStyle name="T_XDCB thang 12.2010" xfId="4043"/>
    <cellStyle name="T_XDCB thang 12.2010 2" xfId="4044"/>
    <cellStyle name="T_XDCB thang 12.2010_!1 1 bao cao giao KH ve HTCMT vung TNB   12-12-2011" xfId="4045"/>
    <cellStyle name="T_XDCB thang 12.2010_!1 1 bao cao giao KH ve HTCMT vung TNB   12-12-2011 2" xfId="4046"/>
    <cellStyle name="T_XDCB thang 12.2010_KH TPCP vung TNB (03-1-2012)" xfId="4047"/>
    <cellStyle name="T_XDCB thang 12.2010_KH TPCP vung TNB (03-1-2012) 2" xfId="4048"/>
    <cellStyle name="T_ÿÿÿÿÿ" xfId="4049"/>
    <cellStyle name="T_ÿÿÿÿÿ 2" xfId="4050"/>
    <cellStyle name="T_ÿÿÿÿÿ_!1 1 bao cao giao KH ve HTCMT vung TNB   12-12-2011" xfId="4051"/>
    <cellStyle name="T_ÿÿÿÿÿ_!1 1 bao cao giao KH ve HTCMT vung TNB   12-12-2011 2" xfId="4052"/>
    <cellStyle name="T_ÿÿÿÿÿ_Bieu mau cong trinh khoi cong moi 3-4" xfId="4053"/>
    <cellStyle name="T_ÿÿÿÿÿ_Bieu mau cong trinh khoi cong moi 3-4 2" xfId="4054"/>
    <cellStyle name="T_ÿÿÿÿÿ_Bieu mau cong trinh khoi cong moi 3-4_!1 1 bao cao giao KH ve HTCMT vung TNB   12-12-2011" xfId="4055"/>
    <cellStyle name="T_ÿÿÿÿÿ_Bieu mau cong trinh khoi cong moi 3-4_!1 1 bao cao giao KH ve HTCMT vung TNB   12-12-2011 2" xfId="4056"/>
    <cellStyle name="T_ÿÿÿÿÿ_Bieu mau cong trinh khoi cong moi 3-4_KH TPCP vung TNB (03-1-2012)" xfId="4057"/>
    <cellStyle name="T_ÿÿÿÿÿ_Bieu mau cong trinh khoi cong moi 3-4_KH TPCP vung TNB (03-1-2012) 2" xfId="4058"/>
    <cellStyle name="T_ÿÿÿÿÿ_Bieu3ODA" xfId="4059"/>
    <cellStyle name="T_ÿÿÿÿÿ_Bieu3ODA 2" xfId="4060"/>
    <cellStyle name="T_ÿÿÿÿÿ_Bieu3ODA_!1 1 bao cao giao KH ve HTCMT vung TNB   12-12-2011" xfId="4061"/>
    <cellStyle name="T_ÿÿÿÿÿ_Bieu3ODA_!1 1 bao cao giao KH ve HTCMT vung TNB   12-12-2011 2" xfId="4062"/>
    <cellStyle name="T_ÿÿÿÿÿ_Bieu3ODA_KH TPCP vung TNB (03-1-2012)" xfId="4063"/>
    <cellStyle name="T_ÿÿÿÿÿ_Bieu3ODA_KH TPCP vung TNB (03-1-2012) 2" xfId="4064"/>
    <cellStyle name="T_ÿÿÿÿÿ_Bieu4HTMT" xfId="4065"/>
    <cellStyle name="T_ÿÿÿÿÿ_Bieu4HTMT 2" xfId="4066"/>
    <cellStyle name="T_ÿÿÿÿÿ_Bieu4HTMT_!1 1 bao cao giao KH ve HTCMT vung TNB   12-12-2011" xfId="4067"/>
    <cellStyle name="T_ÿÿÿÿÿ_Bieu4HTMT_!1 1 bao cao giao KH ve HTCMT vung TNB   12-12-2011 2" xfId="4068"/>
    <cellStyle name="T_ÿÿÿÿÿ_Bieu4HTMT_KH TPCP vung TNB (03-1-2012)" xfId="4069"/>
    <cellStyle name="T_ÿÿÿÿÿ_Bieu4HTMT_KH TPCP vung TNB (03-1-2012) 2" xfId="4070"/>
    <cellStyle name="T_ÿÿÿÿÿ_kien giang 2" xfId="4071"/>
    <cellStyle name="T_ÿÿÿÿÿ_kien giang 2 2" xfId="4072"/>
    <cellStyle name="T_ÿÿÿÿÿ_KH TPCP vung TNB (03-1-2012)" xfId="4073"/>
    <cellStyle name="T_ÿÿÿÿÿ_KH TPCP vung TNB (03-1-2012) 2" xfId="4074"/>
    <cellStyle name="Text Indent A" xfId="4075"/>
    <cellStyle name="Text Indent B" xfId="4076"/>
    <cellStyle name="Text Indent B 10" xfId="4077"/>
    <cellStyle name="Text Indent B 11" xfId="4078"/>
    <cellStyle name="Text Indent B 12" xfId="4079"/>
    <cellStyle name="Text Indent B 13" xfId="4080"/>
    <cellStyle name="Text Indent B 14" xfId="4081"/>
    <cellStyle name="Text Indent B 15" xfId="4082"/>
    <cellStyle name="Text Indent B 16" xfId="4083"/>
    <cellStyle name="Text Indent B 2" xfId="4084"/>
    <cellStyle name="Text Indent B 3" xfId="4085"/>
    <cellStyle name="Text Indent B 4" xfId="4086"/>
    <cellStyle name="Text Indent B 5" xfId="4087"/>
    <cellStyle name="Text Indent B 6" xfId="4088"/>
    <cellStyle name="Text Indent B 7" xfId="4089"/>
    <cellStyle name="Text Indent B 8" xfId="4090"/>
    <cellStyle name="Text Indent B 9" xfId="4091"/>
    <cellStyle name="Text Indent C" xfId="4092"/>
    <cellStyle name="Text Indent C 10" xfId="4093"/>
    <cellStyle name="Text Indent C 11" xfId="4094"/>
    <cellStyle name="Text Indent C 12" xfId="4095"/>
    <cellStyle name="Text Indent C 13" xfId="4096"/>
    <cellStyle name="Text Indent C 14" xfId="4097"/>
    <cellStyle name="Text Indent C 15" xfId="4098"/>
    <cellStyle name="Text Indent C 16" xfId="4099"/>
    <cellStyle name="Text Indent C 2" xfId="4100"/>
    <cellStyle name="Text Indent C 3" xfId="4101"/>
    <cellStyle name="Text Indent C 4" xfId="4102"/>
    <cellStyle name="Text Indent C 5" xfId="4103"/>
    <cellStyle name="Text Indent C 6" xfId="4104"/>
    <cellStyle name="Text Indent C 7" xfId="4105"/>
    <cellStyle name="Text Indent C 8" xfId="4106"/>
    <cellStyle name="Text Indent C 9" xfId="4107"/>
    <cellStyle name="Tickmark" xfId="4108"/>
    <cellStyle name="Tien1" xfId="4109"/>
    <cellStyle name="Tieu_de_2" xfId="4110"/>
    <cellStyle name="Times New Roman" xfId="4111"/>
    <cellStyle name="tit1" xfId="4112"/>
    <cellStyle name="tit2" xfId="4113"/>
    <cellStyle name="tit2 2" xfId="4114"/>
    <cellStyle name="tit3" xfId="4115"/>
    <cellStyle name="tit4" xfId="4116"/>
    <cellStyle name="Title 2" xfId="4117"/>
    <cellStyle name="Tong so" xfId="4118"/>
    <cellStyle name="tong so 1" xfId="4119"/>
    <cellStyle name="Tong so_Bieu KHPTLN 2016-2020" xfId="4120"/>
    <cellStyle name="Tongcong" xfId="4121"/>
    <cellStyle name="Total 2" xfId="4122"/>
    <cellStyle name="Total 2 2" xfId="5030"/>
    <cellStyle name="tt1" xfId="4123"/>
    <cellStyle name="Tusental (0)_pldt" xfId="4124"/>
    <cellStyle name="Tusental_pldt" xfId="4125"/>
    <cellStyle name="th" xfId="4126"/>
    <cellStyle name="th 2" xfId="4127"/>
    <cellStyle name="Thanh" xfId="4137"/>
    <cellStyle name="thuong-10" xfId="4145"/>
    <cellStyle name="thuong-11" xfId="4146"/>
    <cellStyle name="þ_x005f_x001d_ð¤_x005f_x000c_¯þ_x005f_x0014__x005f_x000d_¨þU_x005f_x0001_À_x005f_x0004_ _x005f_x0015__x005f_x000f__x005f_x0001__x005f_x0001_" xfId="4128"/>
    <cellStyle name="þ_x005f_x001d_ð·_x005f_x000c_æþ'_x005f_x000d_ßþU_x005f_x0001_Ø_x005f_x0005_ü_x005f_x0014__x005f_x0007__x005f_x0001__x005f_x0001_" xfId="4129"/>
    <cellStyle name="þ_x005f_x001d_ðÇ%Uý—&amp;Hý9_x005f_x0008_Ÿ s_x005f_x000a__x005f_x0007__x005f_x0001__x005f_x0001_" xfId="4130"/>
    <cellStyle name="þ_x005f_x001d_ðK_x005f_x000c_Fý_x005f_x001b__x005f_x000d_9ýU_x005f_x0001_Ð_x005f_x0008_¦)_x005f_x0007__x005f_x0001__x005f_x0001_" xfId="4131"/>
    <cellStyle name="than" xfId="4136"/>
    <cellStyle name="thuong-11 2" xfId="4147"/>
    <cellStyle name="Thuyet minh" xfId="4148"/>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2"/>
    <cellStyle name="þ_x005f_x005f_x005f_x001d_ð·_x005f_x005f_x005f_x000c_æþ'_x005f_x005f_x005f_x000d_ßþU_x005f_x005f_x005f_x0001_Ø_x005f_x005f_x005f_x0005_ü_x005f_x005f_x005f_x0014__x005f_x005f_x005f_x0007__x005f_x005f_x005f_x0001__x005f_x005f_x005f_x0001_" xfId="4133"/>
    <cellStyle name="þ_x005f_x005f_x005f_x001d_ðÇ%Uý—&amp;Hý9_x005f_x005f_x005f_x0008_Ÿ s_x005f_x005f_x005f_x000a__x005f_x005f_x005f_x0007__x005f_x005f_x005f_x0001__x005f_x005f_x005f_x0001_" xfId="4134"/>
    <cellStyle name="þ_x005f_x005f_x005f_x001d_ðK_x005f_x005f_x005f_x000c_Fý_x005f_x005f_x005f_x001b__x005f_x005f_x005f_x000d_9ýU_x005f_x005f_x005f_x0001_Ð_x005f_x005f_x005f_x0008_¦)_x005f_x005f_x005f_x0007__x005f_x005f_x005f_x0001__x005f_x005f_x005f_x0001_" xfId="4135"/>
    <cellStyle name="þ_x001d_ð¤_x000c_¯þ_x0014__x000a_¨þU_x0001_À_x0004_ _x0015__x000f__x0001__x0001_" xfId="4138"/>
    <cellStyle name="þ_x001d_ð¤_x000c_¯þ_x0014__x000d_¨þU_x0001_À_x0004_ _x0015__x000f__x0001__x0001_" xfId="4139"/>
    <cellStyle name="þ_x001d_ð·_x000c_æþ'_x000a_ßþU_x0001_Ø_x0005_ü_x0014__x0007__x0001__x0001_" xfId="4140"/>
    <cellStyle name="þ_x001d_ð·_x000c_æþ'_x000d_ßþU_x0001_Ø_x0005_ü_x0014__x0007__x0001__x0001_" xfId="4141"/>
    <cellStyle name="þ_x001d_ðÇ%Uý—&amp;Hý9_x0008_Ÿ s_x000a__x0007__x0001__x0001_" xfId="4142"/>
    <cellStyle name="þ_x001d_ðK_x000c_Fý_x001b__x000a_9ýU_x0001_Ð_x0008_¦)_x0007__x0001__x0001_" xfId="4143"/>
    <cellStyle name="þ_x001d_ðK_x000c_Fý_x001b__x000d_9ýU_x0001_Ð_x0008_¦)_x0007__x0001__x0001_" xfId="4144"/>
    <cellStyle name="trang" xfId="4149"/>
    <cellStyle name="ux_3_¼­¿ï-¾È»ê" xfId="4150"/>
    <cellStyle name="Valuta (0)_pldt" xfId="4151"/>
    <cellStyle name="Valuta_pldt" xfId="4152"/>
    <cellStyle name="VANG1" xfId="4153"/>
    <cellStyle name="VANG1 2" xfId="4154"/>
    <cellStyle name="viet" xfId="4155"/>
    <cellStyle name="viet2" xfId="4156"/>
    <cellStyle name="viet2 2" xfId="4157"/>
    <cellStyle name="VN new romanNormal" xfId="4158"/>
    <cellStyle name="VN new romanNormal 2" xfId="4159"/>
    <cellStyle name="VN new romanNormal 2 2" xfId="4160"/>
    <cellStyle name="VN new romanNormal 3" xfId="4161"/>
    <cellStyle name="VN new romanNormal_05-12  KH trung han 2016-2020 - Liem Thinh edited" xfId="4162"/>
    <cellStyle name="Vn Time 13" xfId="4163"/>
    <cellStyle name="Vn Time 14" xfId="4164"/>
    <cellStyle name="Vn Time 14 2" xfId="4165"/>
    <cellStyle name="Vn Time 14 3" xfId="4166"/>
    <cellStyle name="VN time new roman" xfId="4167"/>
    <cellStyle name="VN time new roman 2" xfId="4168"/>
    <cellStyle name="VN time new roman 2 2" xfId="4169"/>
    <cellStyle name="VN time new roman 3" xfId="4170"/>
    <cellStyle name="VN time new roman_05-12  KH trung han 2016-2020 - Liem Thinh edited" xfId="4171"/>
    <cellStyle name="vn_time" xfId="4172"/>
    <cellStyle name="vnbo" xfId="4173"/>
    <cellStyle name="vnbo 2" xfId="4174"/>
    <cellStyle name="vnbo 3" xfId="4175"/>
    <cellStyle name="vntxt1" xfId="4176"/>
    <cellStyle name="vntxt1 10" xfId="4177"/>
    <cellStyle name="vntxt1 11" xfId="4178"/>
    <cellStyle name="vntxt1 12" xfId="4179"/>
    <cellStyle name="vntxt1 13" xfId="4180"/>
    <cellStyle name="vntxt1 14" xfId="4181"/>
    <cellStyle name="vntxt1 15" xfId="4182"/>
    <cellStyle name="vntxt1 16" xfId="4183"/>
    <cellStyle name="vntxt1 2" xfId="4184"/>
    <cellStyle name="vntxt1 3" xfId="4185"/>
    <cellStyle name="vntxt1 4" xfId="4186"/>
    <cellStyle name="vntxt1 5" xfId="4187"/>
    <cellStyle name="vntxt1 6" xfId="4188"/>
    <cellStyle name="vntxt1 7" xfId="4189"/>
    <cellStyle name="vntxt1 8" xfId="4190"/>
    <cellStyle name="vntxt1 9" xfId="4191"/>
    <cellStyle name="vntxt1_05-12  KH trung han 2016-2020 - Liem Thinh edited" xfId="4192"/>
    <cellStyle name="vntxt2" xfId="4193"/>
    <cellStyle name="vnhead1" xfId="4194"/>
    <cellStyle name="vnhead1 2" xfId="4195"/>
    <cellStyle name="vnhead2" xfId="4196"/>
    <cellStyle name="vnhead2 2" xfId="4197"/>
    <cellStyle name="vnhead2 3" xfId="4198"/>
    <cellStyle name="vnhead3" xfId="4199"/>
    <cellStyle name="vnhead3 2" xfId="4200"/>
    <cellStyle name="vnhead3 3" xfId="4201"/>
    <cellStyle name="vnhead4" xfId="4202"/>
    <cellStyle name="W?hrung [0]_35ERI8T2gbIEMixb4v26icuOo" xfId="4203"/>
    <cellStyle name="W?hrung_35ERI8T2gbIEMixb4v26icuOo" xfId="4204"/>
    <cellStyle name="W_MARINE" xfId="1156"/>
    <cellStyle name="Währung [0]_68574_Materialbedarfsliste" xfId="4205"/>
    <cellStyle name="Währung_68574_Materialbedarfsliste" xfId="4206"/>
    <cellStyle name="Walutowy [0]_Invoices2001Slovakia" xfId="4207"/>
    <cellStyle name="Walutowy_Invoices2001Slovakia" xfId="4208"/>
    <cellStyle name="Warning Text 2" xfId="4209"/>
    <cellStyle name="wrap" xfId="4210"/>
    <cellStyle name="Wไhrung [0]_35ERI8T2gbIEMixb4v26icuOo" xfId="4211"/>
    <cellStyle name="Wไhrung_35ERI8T2gbIEMixb4v26icuOo" xfId="4212"/>
    <cellStyle name="xan1" xfId="4213"/>
    <cellStyle name="xuan" xfId="4214"/>
    <cellStyle name="y" xfId="4215"/>
    <cellStyle name="y 2" xfId="4216"/>
    <cellStyle name="Ý kh¸c_B¶ng 1 (2)" xfId="4217"/>
    <cellStyle name="เครื่องหมายสกุลเงิน [0]_FTC_OFFER" xfId="4218"/>
    <cellStyle name="เครื่องหมายสกุลเงิน_FTC_OFFER" xfId="4219"/>
    <cellStyle name="ปกติ_FTC_OFFER" xfId="4220"/>
    <cellStyle name="똿뗦먛귟 [0.00]_PRODUCT DETAIL Q1" xfId="4224"/>
    <cellStyle name="똿뗦먛귟_PRODUCT DETAIL Q1" xfId="4225"/>
    <cellStyle name="믅됞 [0.00]_PRODUCT DETAIL Q1" xfId="4226"/>
    <cellStyle name="믅됞_PRODUCT DETAIL Q1" xfId="4227"/>
    <cellStyle name="백분율_††††† " xfId="4228"/>
    <cellStyle name="뷭?_BOOKSHIP" xfId="4229"/>
    <cellStyle name="안건회계법인" xfId="4230"/>
    <cellStyle name="一般_00Q3902REV.1" xfId="4247"/>
    <cellStyle name="千分位[0]_00Q3902REV.1" xfId="4248"/>
    <cellStyle name="千分位_00Q3902REV.1" xfId="4249"/>
    <cellStyle name="콤맀_Sheet1_총괄표 (수출입) (2)" xfId="4231"/>
    <cellStyle name="콤마 [ - 유형1" xfId="4232"/>
    <cellStyle name="콤마 [ - 유형2" xfId="4233"/>
    <cellStyle name="콤마 [ - 유형3" xfId="4234"/>
    <cellStyle name="콤마 [ - 유형4" xfId="4235"/>
    <cellStyle name="콤마 [ - 유형5" xfId="4236"/>
    <cellStyle name="콤마 [ - 유형6" xfId="4237"/>
    <cellStyle name="콤마 [ - 유형7" xfId="4238"/>
    <cellStyle name="콤마 [ - 유형8" xfId="4239"/>
    <cellStyle name="콤마 [0]_ 비목별 월별기술 " xfId="4240"/>
    <cellStyle name="콤마_ 비목별 월별기술 " xfId="4241"/>
    <cellStyle name="통화 [0]_††††† " xfId="4242"/>
    <cellStyle name="통화_††††† " xfId="4243"/>
    <cellStyle name="표섀_변경(최종)" xfId="4244"/>
    <cellStyle name="표준_ 97년 경영분석(안)" xfId="4245"/>
    <cellStyle name="표줠_Sheet1_1_총괄표 (수출입) (2)" xfId="4246"/>
    <cellStyle name="桁区切り [0.00]_BE-BQ" xfId="4250"/>
    <cellStyle name="桁区切り_BE-BQ" xfId="4251"/>
    <cellStyle name="標準_(A1)BOQ " xfId="4252"/>
    <cellStyle name="貨幣 [0]_00Q3902REV.1" xfId="4253"/>
    <cellStyle name="貨幣[0]_BRE" xfId="4254"/>
    <cellStyle name="貨幣_00Q3902REV.1" xfId="4255"/>
    <cellStyle name="通貨 [0.00]_BE-BQ" xfId="4256"/>
    <cellStyle name="通貨_BE-BQ" xfId="4257"/>
    <cellStyle name=" [0.00]_ Att. 1- Cover" xfId="4221"/>
    <cellStyle name="_ Att. 1- Cover" xfId="4222"/>
    <cellStyle name="?_ Att. 1- Cover" xfId="4223"/>
  </cellStyles>
  <dxfs count="0"/>
  <tableStyles count="0" defaultTableStyle="TableStyleMedium2" defaultPivotStyle="PivotStyleLight16"/>
  <colors>
    <mruColors>
      <color rgb="FF0000FF"/>
      <color rgb="FF0000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HVondoiungODA2018%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1 TWKH"/>
      <sheetName val="Bieu1 NSTW-DP"/>
      <sheetName val="Bieu2 ODA-TW"/>
      <sheetName val="B3 ODA(theo trong nuoc)"/>
      <sheetName val="Bieu4chuyengd"/>
      <sheetName val="Bieu5giantiendo"/>
      <sheetName val="Bieu7.ODAKH"/>
      <sheetName val="Bieu8.ODA (theo trong nuoc)"/>
      <sheetName val="Bieu 2 ODA-DP"/>
      <sheetName val="Bieu 9 Chitiet no XDCB NSNN"/>
    </sheetNames>
    <sheetDataSet>
      <sheetData sheetId="0"/>
      <sheetData sheetId="1"/>
      <sheetData sheetId="2"/>
      <sheetData sheetId="3"/>
      <sheetData sheetId="4"/>
      <sheetData sheetId="5"/>
      <sheetData sheetId="6"/>
      <sheetData sheetId="7">
        <row r="4">
          <cell r="A4" t="str">
            <v>(Kèm theo Nghị quyết số  /NQ-HĐND ngày    tháng 12 năm 2017 của HĐND tỉnh Điện Biên)</v>
          </cell>
          <cell r="B4"/>
          <cell r="C4"/>
          <cell r="D4"/>
          <cell r="E4"/>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cell r="BE4"/>
          <cell r="BF4"/>
          <cell r="BG4"/>
          <cell r="BH4"/>
          <cell r="BI4"/>
          <cell r="BJ4"/>
          <cell r="BK4"/>
          <cell r="BL4"/>
          <cell r="BM4"/>
          <cell r="BN4"/>
          <cell r="BO4"/>
          <cell r="BP4"/>
          <cell r="BQ4"/>
          <cell r="BR4"/>
          <cell r="BS4"/>
          <cell r="BT4"/>
          <cell r="BU4"/>
          <cell r="BV4"/>
          <cell r="BW4"/>
          <cell r="BX4"/>
          <cell r="BY4"/>
          <cell r="BZ4"/>
          <cell r="CA4"/>
          <cell r="CB4"/>
          <cell r="CC4"/>
          <cell r="CD4"/>
          <cell r="CE4"/>
          <cell r="CF4"/>
          <cell r="CG4"/>
          <cell r="CH4"/>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13.160.145.177/qlvb/vbpq.nsf/str/15517E5966F76A8947258105004FADE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45"/>
  <sheetViews>
    <sheetView view="pageBreakPreview" zoomScale="70" zoomScaleNormal="70" zoomScaleSheetLayoutView="70" workbookViewId="0">
      <selection activeCell="A4" sqref="A4:AT4"/>
    </sheetView>
  </sheetViews>
  <sheetFormatPr defaultRowHeight="15"/>
  <cols>
    <col min="1" max="1" width="6.25" style="199" customWidth="1"/>
    <col min="2" max="2" width="63.25" style="204" customWidth="1"/>
    <col min="3" max="4" width="9.25" style="205" hidden="1" customWidth="1"/>
    <col min="5" max="5" width="11.875" style="205" hidden="1" customWidth="1"/>
    <col min="6" max="7" width="9.25" style="205" hidden="1" customWidth="1"/>
    <col min="8" max="8" width="9" style="205" hidden="1" customWidth="1"/>
    <col min="9" max="9" width="15.625" style="205" customWidth="1"/>
    <col min="10" max="10" width="24.25" style="214" customWidth="1"/>
    <col min="11" max="11" width="20.375" style="200" customWidth="1"/>
    <col min="12" max="12" width="17.375" style="200" customWidth="1"/>
    <col min="13" max="13" width="9.125" style="200" hidden="1" customWidth="1"/>
    <col min="14" max="14" width="9.25" style="200" hidden="1" customWidth="1"/>
    <col min="15" max="15" width="11.125" style="200" hidden="1" customWidth="1"/>
    <col min="16" max="16" width="11.25" style="200" hidden="1" customWidth="1"/>
    <col min="17" max="17" width="11.125" style="440" hidden="1" customWidth="1"/>
    <col min="18" max="18" width="0.125" style="440" hidden="1" customWidth="1"/>
    <col min="19" max="19" width="19.375" style="200" customWidth="1"/>
    <col min="20" max="20" width="18.75" style="200" customWidth="1"/>
    <col min="21" max="21" width="15.75" style="200" customWidth="1"/>
    <col min="22" max="22" width="14.875" style="200" customWidth="1"/>
    <col min="23" max="23" width="21.375" style="200" customWidth="1"/>
    <col min="24" max="24" width="11.25" style="440" hidden="1" customWidth="1"/>
    <col min="25" max="25" width="10.875" style="440" hidden="1" customWidth="1"/>
    <col min="26" max="26" width="7.625" style="440" hidden="1" customWidth="1"/>
    <col min="27" max="27" width="10.25" style="440" hidden="1" customWidth="1"/>
    <col min="28" max="28" width="11.25" style="440" hidden="1" customWidth="1"/>
    <col min="29" max="29" width="11.625" style="441" hidden="1" customWidth="1"/>
    <col min="30" max="30" width="9.125" style="440" hidden="1" customWidth="1"/>
    <col min="31" max="31" width="9.625" style="440" hidden="1" customWidth="1"/>
    <col min="32" max="32" width="12" style="200" hidden="1" customWidth="1"/>
    <col min="33" max="33" width="10.625" style="200" hidden="1" customWidth="1"/>
    <col min="34" max="34" width="18.375" style="200" customWidth="1"/>
    <col min="35" max="35" width="19.125" style="200" customWidth="1"/>
    <col min="36" max="36" width="12.75" style="440" hidden="1" customWidth="1"/>
    <col min="37" max="37" width="11.75" style="440" hidden="1" customWidth="1"/>
    <col min="38" max="38" width="10.625" style="440" hidden="1" customWidth="1"/>
    <col min="39" max="39" width="10.125" style="440" hidden="1" customWidth="1"/>
    <col min="40" max="40" width="8.25" style="440" hidden="1" customWidth="1"/>
    <col min="41" max="41" width="8.125" style="440" hidden="1" customWidth="1"/>
    <col min="42" max="42" width="15.75" style="200" customWidth="1"/>
    <col min="43" max="43" width="15.875" style="200" customWidth="1"/>
    <col min="44" max="44" width="15.25" style="200" customWidth="1"/>
    <col min="45" max="45" width="13.125" style="200" customWidth="1"/>
    <col min="46" max="46" width="30.625" style="205" customWidth="1"/>
    <col min="47" max="47" width="15.25" style="199" hidden="1" customWidth="1"/>
    <col min="48" max="48" width="16.75" style="199" hidden="1" customWidth="1"/>
    <col min="49" max="49" width="13.625" style="199" hidden="1" customWidth="1"/>
    <col min="50" max="50" width="12" style="200" hidden="1" customWidth="1"/>
    <col min="51" max="51" width="9.25" style="200" hidden="1" customWidth="1"/>
    <col min="52" max="52" width="15.25" style="200" hidden="1" customWidth="1"/>
    <col min="53" max="53" width="9.75" style="200" hidden="1" customWidth="1"/>
    <col min="54" max="54" width="2.625" style="201" hidden="1" customWidth="1"/>
    <col min="55" max="55" width="23.875" style="201" hidden="1" customWidth="1"/>
    <col min="56" max="56" width="11.25" style="201" hidden="1" customWidth="1"/>
    <col min="57" max="57" width="2.125" style="201" hidden="1" customWidth="1"/>
    <col min="58" max="58" width="14.75" style="201" customWidth="1"/>
    <col min="59" max="59" width="9.125" style="201"/>
    <col min="60" max="60" width="12" style="201" bestFit="1" customWidth="1"/>
    <col min="61" max="61" width="11" style="201" bestFit="1" customWidth="1"/>
    <col min="62" max="267" width="9.125" style="201"/>
    <col min="268" max="268" width="6.25" style="201" customWidth="1"/>
    <col min="269" max="269" width="35.625" style="201" customWidth="1"/>
    <col min="270" max="272" width="0" style="201" hidden="1" customWidth="1"/>
    <col min="273" max="273" width="17.25" style="201" customWidth="1"/>
    <col min="274" max="274" width="11.25" style="201" customWidth="1"/>
    <col min="275" max="275" width="9.625" style="201" customWidth="1"/>
    <col min="276" max="281" width="0" style="201" hidden="1" customWidth="1"/>
    <col min="282" max="282" width="11.25" style="201" customWidth="1"/>
    <col min="283" max="283" width="11.125" style="201" customWidth="1"/>
    <col min="284" max="284" width="8.125" style="201" customWidth="1"/>
    <col min="285" max="285" width="9.25" style="201" customWidth="1"/>
    <col min="286" max="286" width="9" style="201" customWidth="1"/>
    <col min="287" max="287" width="9.25" style="201" customWidth="1"/>
    <col min="288" max="289" width="0" style="201" hidden="1" customWidth="1"/>
    <col min="290" max="290" width="9.125" style="201" customWidth="1"/>
    <col min="291" max="291" width="10.125" style="201" customWidth="1"/>
    <col min="292" max="292" width="9.125" style="201" customWidth="1"/>
    <col min="293" max="299" width="9.625" style="201" customWidth="1"/>
    <col min="300" max="300" width="19.25" style="201" customWidth="1"/>
    <col min="301" max="301" width="22.125" style="201" customWidth="1"/>
    <col min="302" max="302" width="16.75" style="201" customWidth="1"/>
    <col min="303" max="303" width="13.625" style="201" customWidth="1"/>
    <col min="304" max="304" width="12" style="201" customWidth="1"/>
    <col min="305" max="305" width="9.25" style="201" customWidth="1"/>
    <col min="306" max="306" width="15.25" style="201" customWidth="1"/>
    <col min="307" max="307" width="9.75" style="201" customWidth="1"/>
    <col min="308" max="308" width="2.625" style="201" customWidth="1"/>
    <col min="309" max="309" width="23.875" style="201" customWidth="1"/>
    <col min="310" max="523" width="9.125" style="201"/>
    <col min="524" max="524" width="6.25" style="201" customWidth="1"/>
    <col min="525" max="525" width="35.625" style="201" customWidth="1"/>
    <col min="526" max="528" width="0" style="201" hidden="1" customWidth="1"/>
    <col min="529" max="529" width="17.25" style="201" customWidth="1"/>
    <col min="530" max="530" width="11.25" style="201" customWidth="1"/>
    <col min="531" max="531" width="9.625" style="201" customWidth="1"/>
    <col min="532" max="537" width="0" style="201" hidden="1" customWidth="1"/>
    <col min="538" max="538" width="11.25" style="201" customWidth="1"/>
    <col min="539" max="539" width="11.125" style="201" customWidth="1"/>
    <col min="540" max="540" width="8.125" style="201" customWidth="1"/>
    <col min="541" max="541" width="9.25" style="201" customWidth="1"/>
    <col min="542" max="542" width="9" style="201" customWidth="1"/>
    <col min="543" max="543" width="9.25" style="201" customWidth="1"/>
    <col min="544" max="545" width="0" style="201" hidden="1" customWidth="1"/>
    <col min="546" max="546" width="9.125" style="201" customWidth="1"/>
    <col min="547" max="547" width="10.125" style="201" customWidth="1"/>
    <col min="548" max="548" width="9.125" style="201" customWidth="1"/>
    <col min="549" max="555" width="9.625" style="201" customWidth="1"/>
    <col min="556" max="556" width="19.25" style="201" customWidth="1"/>
    <col min="557" max="557" width="22.125" style="201" customWidth="1"/>
    <col min="558" max="558" width="16.75" style="201" customWidth="1"/>
    <col min="559" max="559" width="13.625" style="201" customWidth="1"/>
    <col min="560" max="560" width="12" style="201" customWidth="1"/>
    <col min="561" max="561" width="9.25" style="201" customWidth="1"/>
    <col min="562" max="562" width="15.25" style="201" customWidth="1"/>
    <col min="563" max="563" width="9.75" style="201" customWidth="1"/>
    <col min="564" max="564" width="2.625" style="201" customWidth="1"/>
    <col min="565" max="565" width="23.875" style="201" customWidth="1"/>
    <col min="566" max="779" width="9.125" style="201"/>
    <col min="780" max="780" width="6.25" style="201" customWidth="1"/>
    <col min="781" max="781" width="35.625" style="201" customWidth="1"/>
    <col min="782" max="784" width="0" style="201" hidden="1" customWidth="1"/>
    <col min="785" max="785" width="17.25" style="201" customWidth="1"/>
    <col min="786" max="786" width="11.25" style="201" customWidth="1"/>
    <col min="787" max="787" width="9.625" style="201" customWidth="1"/>
    <col min="788" max="793" width="0" style="201" hidden="1" customWidth="1"/>
    <col min="794" max="794" width="11.25" style="201" customWidth="1"/>
    <col min="795" max="795" width="11.125" style="201" customWidth="1"/>
    <col min="796" max="796" width="8.125" style="201" customWidth="1"/>
    <col min="797" max="797" width="9.25" style="201" customWidth="1"/>
    <col min="798" max="798" width="9" style="201" customWidth="1"/>
    <col min="799" max="799" width="9.25" style="201" customWidth="1"/>
    <col min="800" max="801" width="0" style="201" hidden="1" customWidth="1"/>
    <col min="802" max="802" width="9.125" style="201" customWidth="1"/>
    <col min="803" max="803" width="10.125" style="201" customWidth="1"/>
    <col min="804" max="804" width="9.125" style="201" customWidth="1"/>
    <col min="805" max="811" width="9.625" style="201" customWidth="1"/>
    <col min="812" max="812" width="19.25" style="201" customWidth="1"/>
    <col min="813" max="813" width="22.125" style="201" customWidth="1"/>
    <col min="814" max="814" width="16.75" style="201" customWidth="1"/>
    <col min="815" max="815" width="13.625" style="201" customWidth="1"/>
    <col min="816" max="816" width="12" style="201" customWidth="1"/>
    <col min="817" max="817" width="9.25" style="201" customWidth="1"/>
    <col min="818" max="818" width="15.25" style="201" customWidth="1"/>
    <col min="819" max="819" width="9.75" style="201" customWidth="1"/>
    <col min="820" max="820" width="2.625" style="201" customWidth="1"/>
    <col min="821" max="821" width="23.875" style="201" customWidth="1"/>
    <col min="822" max="1035" width="9.125" style="201"/>
    <col min="1036" max="1036" width="6.25" style="201" customWidth="1"/>
    <col min="1037" max="1037" width="35.625" style="201" customWidth="1"/>
    <col min="1038" max="1040" width="0" style="201" hidden="1" customWidth="1"/>
    <col min="1041" max="1041" width="17.25" style="201" customWidth="1"/>
    <col min="1042" max="1042" width="11.25" style="201" customWidth="1"/>
    <col min="1043" max="1043" width="9.625" style="201" customWidth="1"/>
    <col min="1044" max="1049" width="0" style="201" hidden="1" customWidth="1"/>
    <col min="1050" max="1050" width="11.25" style="201" customWidth="1"/>
    <col min="1051" max="1051" width="11.125" style="201" customWidth="1"/>
    <col min="1052" max="1052" width="8.125" style="201" customWidth="1"/>
    <col min="1053" max="1053" width="9.25" style="201" customWidth="1"/>
    <col min="1054" max="1054" width="9" style="201" customWidth="1"/>
    <col min="1055" max="1055" width="9.25" style="201" customWidth="1"/>
    <col min="1056" max="1057" width="0" style="201" hidden="1" customWidth="1"/>
    <col min="1058" max="1058" width="9.125" style="201" customWidth="1"/>
    <col min="1059" max="1059" width="10.125" style="201" customWidth="1"/>
    <col min="1060" max="1060" width="9.125" style="201" customWidth="1"/>
    <col min="1061" max="1067" width="9.625" style="201" customWidth="1"/>
    <col min="1068" max="1068" width="19.25" style="201" customWidth="1"/>
    <col min="1069" max="1069" width="22.125" style="201" customWidth="1"/>
    <col min="1070" max="1070" width="16.75" style="201" customWidth="1"/>
    <col min="1071" max="1071" width="13.625" style="201" customWidth="1"/>
    <col min="1072" max="1072" width="12" style="201" customWidth="1"/>
    <col min="1073" max="1073" width="9.25" style="201" customWidth="1"/>
    <col min="1074" max="1074" width="15.25" style="201" customWidth="1"/>
    <col min="1075" max="1075" width="9.75" style="201" customWidth="1"/>
    <col min="1076" max="1076" width="2.625" style="201" customWidth="1"/>
    <col min="1077" max="1077" width="23.875" style="201" customWidth="1"/>
    <col min="1078" max="1291" width="9.125" style="201"/>
    <col min="1292" max="1292" width="6.25" style="201" customWidth="1"/>
    <col min="1293" max="1293" width="35.625" style="201" customWidth="1"/>
    <col min="1294" max="1296" width="0" style="201" hidden="1" customWidth="1"/>
    <col min="1297" max="1297" width="17.25" style="201" customWidth="1"/>
    <col min="1298" max="1298" width="11.25" style="201" customWidth="1"/>
    <col min="1299" max="1299" width="9.625" style="201" customWidth="1"/>
    <col min="1300" max="1305" width="0" style="201" hidden="1" customWidth="1"/>
    <col min="1306" max="1306" width="11.25" style="201" customWidth="1"/>
    <col min="1307" max="1307" width="11.125" style="201" customWidth="1"/>
    <col min="1308" max="1308" width="8.125" style="201" customWidth="1"/>
    <col min="1309" max="1309" width="9.25" style="201" customWidth="1"/>
    <col min="1310" max="1310" width="9" style="201" customWidth="1"/>
    <col min="1311" max="1311" width="9.25" style="201" customWidth="1"/>
    <col min="1312" max="1313" width="0" style="201" hidden="1" customWidth="1"/>
    <col min="1314" max="1314" width="9.125" style="201" customWidth="1"/>
    <col min="1315" max="1315" width="10.125" style="201" customWidth="1"/>
    <col min="1316" max="1316" width="9.125" style="201" customWidth="1"/>
    <col min="1317" max="1323" width="9.625" style="201" customWidth="1"/>
    <col min="1324" max="1324" width="19.25" style="201" customWidth="1"/>
    <col min="1325" max="1325" width="22.125" style="201" customWidth="1"/>
    <col min="1326" max="1326" width="16.75" style="201" customWidth="1"/>
    <col min="1327" max="1327" width="13.625" style="201" customWidth="1"/>
    <col min="1328" max="1328" width="12" style="201" customWidth="1"/>
    <col min="1329" max="1329" width="9.25" style="201" customWidth="1"/>
    <col min="1330" max="1330" width="15.25" style="201" customWidth="1"/>
    <col min="1331" max="1331" width="9.75" style="201" customWidth="1"/>
    <col min="1332" max="1332" width="2.625" style="201" customWidth="1"/>
    <col min="1333" max="1333" width="23.875" style="201" customWidth="1"/>
    <col min="1334" max="1547" width="9.125" style="201"/>
    <col min="1548" max="1548" width="6.25" style="201" customWidth="1"/>
    <col min="1549" max="1549" width="35.625" style="201" customWidth="1"/>
    <col min="1550" max="1552" width="0" style="201" hidden="1" customWidth="1"/>
    <col min="1553" max="1553" width="17.25" style="201" customWidth="1"/>
    <col min="1554" max="1554" width="11.25" style="201" customWidth="1"/>
    <col min="1555" max="1555" width="9.625" style="201" customWidth="1"/>
    <col min="1556" max="1561" width="0" style="201" hidden="1" customWidth="1"/>
    <col min="1562" max="1562" width="11.25" style="201" customWidth="1"/>
    <col min="1563" max="1563" width="11.125" style="201" customWidth="1"/>
    <col min="1564" max="1564" width="8.125" style="201" customWidth="1"/>
    <col min="1565" max="1565" width="9.25" style="201" customWidth="1"/>
    <col min="1566" max="1566" width="9" style="201" customWidth="1"/>
    <col min="1567" max="1567" width="9.25" style="201" customWidth="1"/>
    <col min="1568" max="1569" width="0" style="201" hidden="1" customWidth="1"/>
    <col min="1570" max="1570" width="9.125" style="201" customWidth="1"/>
    <col min="1571" max="1571" width="10.125" style="201" customWidth="1"/>
    <col min="1572" max="1572" width="9.125" style="201" customWidth="1"/>
    <col min="1573" max="1579" width="9.625" style="201" customWidth="1"/>
    <col min="1580" max="1580" width="19.25" style="201" customWidth="1"/>
    <col min="1581" max="1581" width="22.125" style="201" customWidth="1"/>
    <col min="1582" max="1582" width="16.75" style="201" customWidth="1"/>
    <col min="1583" max="1583" width="13.625" style="201" customWidth="1"/>
    <col min="1584" max="1584" width="12" style="201" customWidth="1"/>
    <col min="1585" max="1585" width="9.25" style="201" customWidth="1"/>
    <col min="1586" max="1586" width="15.25" style="201" customWidth="1"/>
    <col min="1587" max="1587" width="9.75" style="201" customWidth="1"/>
    <col min="1588" max="1588" width="2.625" style="201" customWidth="1"/>
    <col min="1589" max="1589" width="23.875" style="201" customWidth="1"/>
    <col min="1590" max="1803" width="9.125" style="201"/>
    <col min="1804" max="1804" width="6.25" style="201" customWidth="1"/>
    <col min="1805" max="1805" width="35.625" style="201" customWidth="1"/>
    <col min="1806" max="1808" width="0" style="201" hidden="1" customWidth="1"/>
    <col min="1809" max="1809" width="17.25" style="201" customWidth="1"/>
    <col min="1810" max="1810" width="11.25" style="201" customWidth="1"/>
    <col min="1811" max="1811" width="9.625" style="201" customWidth="1"/>
    <col min="1812" max="1817" width="0" style="201" hidden="1" customWidth="1"/>
    <col min="1818" max="1818" width="11.25" style="201" customWidth="1"/>
    <col min="1819" max="1819" width="11.125" style="201" customWidth="1"/>
    <col min="1820" max="1820" width="8.125" style="201" customWidth="1"/>
    <col min="1821" max="1821" width="9.25" style="201" customWidth="1"/>
    <col min="1822" max="1822" width="9" style="201" customWidth="1"/>
    <col min="1823" max="1823" width="9.25" style="201" customWidth="1"/>
    <col min="1824" max="1825" width="0" style="201" hidden="1" customWidth="1"/>
    <col min="1826" max="1826" width="9.125" style="201" customWidth="1"/>
    <col min="1827" max="1827" width="10.125" style="201" customWidth="1"/>
    <col min="1828" max="1828" width="9.125" style="201" customWidth="1"/>
    <col min="1829" max="1835" width="9.625" style="201" customWidth="1"/>
    <col min="1836" max="1836" width="19.25" style="201" customWidth="1"/>
    <col min="1837" max="1837" width="22.125" style="201" customWidth="1"/>
    <col min="1838" max="1838" width="16.75" style="201" customWidth="1"/>
    <col min="1839" max="1839" width="13.625" style="201" customWidth="1"/>
    <col min="1840" max="1840" width="12" style="201" customWidth="1"/>
    <col min="1841" max="1841" width="9.25" style="201" customWidth="1"/>
    <col min="1842" max="1842" width="15.25" style="201" customWidth="1"/>
    <col min="1843" max="1843" width="9.75" style="201" customWidth="1"/>
    <col min="1844" max="1844" width="2.625" style="201" customWidth="1"/>
    <col min="1845" max="1845" width="23.875" style="201" customWidth="1"/>
    <col min="1846" max="2059" width="9.125" style="201"/>
    <col min="2060" max="2060" width="6.25" style="201" customWidth="1"/>
    <col min="2061" max="2061" width="35.625" style="201" customWidth="1"/>
    <col min="2062" max="2064" width="0" style="201" hidden="1" customWidth="1"/>
    <col min="2065" max="2065" width="17.25" style="201" customWidth="1"/>
    <col min="2066" max="2066" width="11.25" style="201" customWidth="1"/>
    <col min="2067" max="2067" width="9.625" style="201" customWidth="1"/>
    <col min="2068" max="2073" width="0" style="201" hidden="1" customWidth="1"/>
    <col min="2074" max="2074" width="11.25" style="201" customWidth="1"/>
    <col min="2075" max="2075" width="11.125" style="201" customWidth="1"/>
    <col min="2076" max="2076" width="8.125" style="201" customWidth="1"/>
    <col min="2077" max="2077" width="9.25" style="201" customWidth="1"/>
    <col min="2078" max="2078" width="9" style="201" customWidth="1"/>
    <col min="2079" max="2079" width="9.25" style="201" customWidth="1"/>
    <col min="2080" max="2081" width="0" style="201" hidden="1" customWidth="1"/>
    <col min="2082" max="2082" width="9.125" style="201" customWidth="1"/>
    <col min="2083" max="2083" width="10.125" style="201" customWidth="1"/>
    <col min="2084" max="2084" width="9.125" style="201" customWidth="1"/>
    <col min="2085" max="2091" width="9.625" style="201" customWidth="1"/>
    <col min="2092" max="2092" width="19.25" style="201" customWidth="1"/>
    <col min="2093" max="2093" width="22.125" style="201" customWidth="1"/>
    <col min="2094" max="2094" width="16.75" style="201" customWidth="1"/>
    <col min="2095" max="2095" width="13.625" style="201" customWidth="1"/>
    <col min="2096" max="2096" width="12" style="201" customWidth="1"/>
    <col min="2097" max="2097" width="9.25" style="201" customWidth="1"/>
    <col min="2098" max="2098" width="15.25" style="201" customWidth="1"/>
    <col min="2099" max="2099" width="9.75" style="201" customWidth="1"/>
    <col min="2100" max="2100" width="2.625" style="201" customWidth="1"/>
    <col min="2101" max="2101" width="23.875" style="201" customWidth="1"/>
    <col min="2102" max="2315" width="9.125" style="201"/>
    <col min="2316" max="2316" width="6.25" style="201" customWidth="1"/>
    <col min="2317" max="2317" width="35.625" style="201" customWidth="1"/>
    <col min="2318" max="2320" width="0" style="201" hidden="1" customWidth="1"/>
    <col min="2321" max="2321" width="17.25" style="201" customWidth="1"/>
    <col min="2322" max="2322" width="11.25" style="201" customWidth="1"/>
    <col min="2323" max="2323" width="9.625" style="201" customWidth="1"/>
    <col min="2324" max="2329" width="0" style="201" hidden="1" customWidth="1"/>
    <col min="2330" max="2330" width="11.25" style="201" customWidth="1"/>
    <col min="2331" max="2331" width="11.125" style="201" customWidth="1"/>
    <col min="2332" max="2332" width="8.125" style="201" customWidth="1"/>
    <col min="2333" max="2333" width="9.25" style="201" customWidth="1"/>
    <col min="2334" max="2334" width="9" style="201" customWidth="1"/>
    <col min="2335" max="2335" width="9.25" style="201" customWidth="1"/>
    <col min="2336" max="2337" width="0" style="201" hidden="1" customWidth="1"/>
    <col min="2338" max="2338" width="9.125" style="201" customWidth="1"/>
    <col min="2339" max="2339" width="10.125" style="201" customWidth="1"/>
    <col min="2340" max="2340" width="9.125" style="201" customWidth="1"/>
    <col min="2341" max="2347" width="9.625" style="201" customWidth="1"/>
    <col min="2348" max="2348" width="19.25" style="201" customWidth="1"/>
    <col min="2349" max="2349" width="22.125" style="201" customWidth="1"/>
    <col min="2350" max="2350" width="16.75" style="201" customWidth="1"/>
    <col min="2351" max="2351" width="13.625" style="201" customWidth="1"/>
    <col min="2352" max="2352" width="12" style="201" customWidth="1"/>
    <col min="2353" max="2353" width="9.25" style="201" customWidth="1"/>
    <col min="2354" max="2354" width="15.25" style="201" customWidth="1"/>
    <col min="2355" max="2355" width="9.75" style="201" customWidth="1"/>
    <col min="2356" max="2356" width="2.625" style="201" customWidth="1"/>
    <col min="2357" max="2357" width="23.875" style="201" customWidth="1"/>
    <col min="2358" max="2571" width="9.125" style="201"/>
    <col min="2572" max="2572" width="6.25" style="201" customWidth="1"/>
    <col min="2573" max="2573" width="35.625" style="201" customWidth="1"/>
    <col min="2574" max="2576" width="0" style="201" hidden="1" customWidth="1"/>
    <col min="2577" max="2577" width="17.25" style="201" customWidth="1"/>
    <col min="2578" max="2578" width="11.25" style="201" customWidth="1"/>
    <col min="2579" max="2579" width="9.625" style="201" customWidth="1"/>
    <col min="2580" max="2585" width="0" style="201" hidden="1" customWidth="1"/>
    <col min="2586" max="2586" width="11.25" style="201" customWidth="1"/>
    <col min="2587" max="2587" width="11.125" style="201" customWidth="1"/>
    <col min="2588" max="2588" width="8.125" style="201" customWidth="1"/>
    <col min="2589" max="2589" width="9.25" style="201" customWidth="1"/>
    <col min="2590" max="2590" width="9" style="201" customWidth="1"/>
    <col min="2591" max="2591" width="9.25" style="201" customWidth="1"/>
    <col min="2592" max="2593" width="0" style="201" hidden="1" customWidth="1"/>
    <col min="2594" max="2594" width="9.125" style="201" customWidth="1"/>
    <col min="2595" max="2595" width="10.125" style="201" customWidth="1"/>
    <col min="2596" max="2596" width="9.125" style="201" customWidth="1"/>
    <col min="2597" max="2603" width="9.625" style="201" customWidth="1"/>
    <col min="2604" max="2604" width="19.25" style="201" customWidth="1"/>
    <col min="2605" max="2605" width="22.125" style="201" customWidth="1"/>
    <col min="2606" max="2606" width="16.75" style="201" customWidth="1"/>
    <col min="2607" max="2607" width="13.625" style="201" customWidth="1"/>
    <col min="2608" max="2608" width="12" style="201" customWidth="1"/>
    <col min="2609" max="2609" width="9.25" style="201" customWidth="1"/>
    <col min="2610" max="2610" width="15.25" style="201" customWidth="1"/>
    <col min="2611" max="2611" width="9.75" style="201" customWidth="1"/>
    <col min="2612" max="2612" width="2.625" style="201" customWidth="1"/>
    <col min="2613" max="2613" width="23.875" style="201" customWidth="1"/>
    <col min="2614" max="2827" width="9.125" style="201"/>
    <col min="2828" max="2828" width="6.25" style="201" customWidth="1"/>
    <col min="2829" max="2829" width="35.625" style="201" customWidth="1"/>
    <col min="2830" max="2832" width="0" style="201" hidden="1" customWidth="1"/>
    <col min="2833" max="2833" width="17.25" style="201" customWidth="1"/>
    <col min="2834" max="2834" width="11.25" style="201" customWidth="1"/>
    <col min="2835" max="2835" width="9.625" style="201" customWidth="1"/>
    <col min="2836" max="2841" width="0" style="201" hidden="1" customWidth="1"/>
    <col min="2842" max="2842" width="11.25" style="201" customWidth="1"/>
    <col min="2843" max="2843" width="11.125" style="201" customWidth="1"/>
    <col min="2844" max="2844" width="8.125" style="201" customWidth="1"/>
    <col min="2845" max="2845" width="9.25" style="201" customWidth="1"/>
    <col min="2846" max="2846" width="9" style="201" customWidth="1"/>
    <col min="2847" max="2847" width="9.25" style="201" customWidth="1"/>
    <col min="2848" max="2849" width="0" style="201" hidden="1" customWidth="1"/>
    <col min="2850" max="2850" width="9.125" style="201" customWidth="1"/>
    <col min="2851" max="2851" width="10.125" style="201" customWidth="1"/>
    <col min="2852" max="2852" width="9.125" style="201" customWidth="1"/>
    <col min="2853" max="2859" width="9.625" style="201" customWidth="1"/>
    <col min="2860" max="2860" width="19.25" style="201" customWidth="1"/>
    <col min="2861" max="2861" width="22.125" style="201" customWidth="1"/>
    <col min="2862" max="2862" width="16.75" style="201" customWidth="1"/>
    <col min="2863" max="2863" width="13.625" style="201" customWidth="1"/>
    <col min="2864" max="2864" width="12" style="201" customWidth="1"/>
    <col min="2865" max="2865" width="9.25" style="201" customWidth="1"/>
    <col min="2866" max="2866" width="15.25" style="201" customWidth="1"/>
    <col min="2867" max="2867" width="9.75" style="201" customWidth="1"/>
    <col min="2868" max="2868" width="2.625" style="201" customWidth="1"/>
    <col min="2869" max="2869" width="23.875" style="201" customWidth="1"/>
    <col min="2870" max="3083" width="9.125" style="201"/>
    <col min="3084" max="3084" width="6.25" style="201" customWidth="1"/>
    <col min="3085" max="3085" width="35.625" style="201" customWidth="1"/>
    <col min="3086" max="3088" width="0" style="201" hidden="1" customWidth="1"/>
    <col min="3089" max="3089" width="17.25" style="201" customWidth="1"/>
    <col min="3090" max="3090" width="11.25" style="201" customWidth="1"/>
    <col min="3091" max="3091" width="9.625" style="201" customWidth="1"/>
    <col min="3092" max="3097" width="0" style="201" hidden="1" customWidth="1"/>
    <col min="3098" max="3098" width="11.25" style="201" customWidth="1"/>
    <col min="3099" max="3099" width="11.125" style="201" customWidth="1"/>
    <col min="3100" max="3100" width="8.125" style="201" customWidth="1"/>
    <col min="3101" max="3101" width="9.25" style="201" customWidth="1"/>
    <col min="3102" max="3102" width="9" style="201" customWidth="1"/>
    <col min="3103" max="3103" width="9.25" style="201" customWidth="1"/>
    <col min="3104" max="3105" width="0" style="201" hidden="1" customWidth="1"/>
    <col min="3106" max="3106" width="9.125" style="201" customWidth="1"/>
    <col min="3107" max="3107" width="10.125" style="201" customWidth="1"/>
    <col min="3108" max="3108" width="9.125" style="201" customWidth="1"/>
    <col min="3109" max="3115" width="9.625" style="201" customWidth="1"/>
    <col min="3116" max="3116" width="19.25" style="201" customWidth="1"/>
    <col min="3117" max="3117" width="22.125" style="201" customWidth="1"/>
    <col min="3118" max="3118" width="16.75" style="201" customWidth="1"/>
    <col min="3119" max="3119" width="13.625" style="201" customWidth="1"/>
    <col min="3120" max="3120" width="12" style="201" customWidth="1"/>
    <col min="3121" max="3121" width="9.25" style="201" customWidth="1"/>
    <col min="3122" max="3122" width="15.25" style="201" customWidth="1"/>
    <col min="3123" max="3123" width="9.75" style="201" customWidth="1"/>
    <col min="3124" max="3124" width="2.625" style="201" customWidth="1"/>
    <col min="3125" max="3125" width="23.875" style="201" customWidth="1"/>
    <col min="3126" max="3339" width="9.125" style="201"/>
    <col min="3340" max="3340" width="6.25" style="201" customWidth="1"/>
    <col min="3341" max="3341" width="35.625" style="201" customWidth="1"/>
    <col min="3342" max="3344" width="0" style="201" hidden="1" customWidth="1"/>
    <col min="3345" max="3345" width="17.25" style="201" customWidth="1"/>
    <col min="3346" max="3346" width="11.25" style="201" customWidth="1"/>
    <col min="3347" max="3347" width="9.625" style="201" customWidth="1"/>
    <col min="3348" max="3353" width="0" style="201" hidden="1" customWidth="1"/>
    <col min="3354" max="3354" width="11.25" style="201" customWidth="1"/>
    <col min="3355" max="3355" width="11.125" style="201" customWidth="1"/>
    <col min="3356" max="3356" width="8.125" style="201" customWidth="1"/>
    <col min="3357" max="3357" width="9.25" style="201" customWidth="1"/>
    <col min="3358" max="3358" width="9" style="201" customWidth="1"/>
    <col min="3359" max="3359" width="9.25" style="201" customWidth="1"/>
    <col min="3360" max="3361" width="0" style="201" hidden="1" customWidth="1"/>
    <col min="3362" max="3362" width="9.125" style="201" customWidth="1"/>
    <col min="3363" max="3363" width="10.125" style="201" customWidth="1"/>
    <col min="3364" max="3364" width="9.125" style="201" customWidth="1"/>
    <col min="3365" max="3371" width="9.625" style="201" customWidth="1"/>
    <col min="3372" max="3372" width="19.25" style="201" customWidth="1"/>
    <col min="3373" max="3373" width="22.125" style="201" customWidth="1"/>
    <col min="3374" max="3374" width="16.75" style="201" customWidth="1"/>
    <col min="3375" max="3375" width="13.625" style="201" customWidth="1"/>
    <col min="3376" max="3376" width="12" style="201" customWidth="1"/>
    <col min="3377" max="3377" width="9.25" style="201" customWidth="1"/>
    <col min="3378" max="3378" width="15.25" style="201" customWidth="1"/>
    <col min="3379" max="3379" width="9.75" style="201" customWidth="1"/>
    <col min="3380" max="3380" width="2.625" style="201" customWidth="1"/>
    <col min="3381" max="3381" width="23.875" style="201" customWidth="1"/>
    <col min="3382" max="3595" width="9.125" style="201"/>
    <col min="3596" max="3596" width="6.25" style="201" customWidth="1"/>
    <col min="3597" max="3597" width="35.625" style="201" customWidth="1"/>
    <col min="3598" max="3600" width="0" style="201" hidden="1" customWidth="1"/>
    <col min="3601" max="3601" width="17.25" style="201" customWidth="1"/>
    <col min="3602" max="3602" width="11.25" style="201" customWidth="1"/>
    <col min="3603" max="3603" width="9.625" style="201" customWidth="1"/>
    <col min="3604" max="3609" width="0" style="201" hidden="1" customWidth="1"/>
    <col min="3610" max="3610" width="11.25" style="201" customWidth="1"/>
    <col min="3611" max="3611" width="11.125" style="201" customWidth="1"/>
    <col min="3612" max="3612" width="8.125" style="201" customWidth="1"/>
    <col min="3613" max="3613" width="9.25" style="201" customWidth="1"/>
    <col min="3614" max="3614" width="9" style="201" customWidth="1"/>
    <col min="3615" max="3615" width="9.25" style="201" customWidth="1"/>
    <col min="3616" max="3617" width="0" style="201" hidden="1" customWidth="1"/>
    <col min="3618" max="3618" width="9.125" style="201" customWidth="1"/>
    <col min="3619" max="3619" width="10.125" style="201" customWidth="1"/>
    <col min="3620" max="3620" width="9.125" style="201" customWidth="1"/>
    <col min="3621" max="3627" width="9.625" style="201" customWidth="1"/>
    <col min="3628" max="3628" width="19.25" style="201" customWidth="1"/>
    <col min="3629" max="3629" width="22.125" style="201" customWidth="1"/>
    <col min="3630" max="3630" width="16.75" style="201" customWidth="1"/>
    <col min="3631" max="3631" width="13.625" style="201" customWidth="1"/>
    <col min="3632" max="3632" width="12" style="201" customWidth="1"/>
    <col min="3633" max="3633" width="9.25" style="201" customWidth="1"/>
    <col min="3634" max="3634" width="15.25" style="201" customWidth="1"/>
    <col min="3635" max="3635" width="9.75" style="201" customWidth="1"/>
    <col min="3636" max="3636" width="2.625" style="201" customWidth="1"/>
    <col min="3637" max="3637" width="23.875" style="201" customWidth="1"/>
    <col min="3638" max="3851" width="9.125" style="201"/>
    <col min="3852" max="3852" width="6.25" style="201" customWidth="1"/>
    <col min="3853" max="3853" width="35.625" style="201" customWidth="1"/>
    <col min="3854" max="3856" width="0" style="201" hidden="1" customWidth="1"/>
    <col min="3857" max="3857" width="17.25" style="201" customWidth="1"/>
    <col min="3858" max="3858" width="11.25" style="201" customWidth="1"/>
    <col min="3859" max="3859" width="9.625" style="201" customWidth="1"/>
    <col min="3860" max="3865" width="0" style="201" hidden="1" customWidth="1"/>
    <col min="3866" max="3866" width="11.25" style="201" customWidth="1"/>
    <col min="3867" max="3867" width="11.125" style="201" customWidth="1"/>
    <col min="3868" max="3868" width="8.125" style="201" customWidth="1"/>
    <col min="3869" max="3869" width="9.25" style="201" customWidth="1"/>
    <col min="3870" max="3870" width="9" style="201" customWidth="1"/>
    <col min="3871" max="3871" width="9.25" style="201" customWidth="1"/>
    <col min="3872" max="3873" width="0" style="201" hidden="1" customWidth="1"/>
    <col min="3874" max="3874" width="9.125" style="201" customWidth="1"/>
    <col min="3875" max="3875" width="10.125" style="201" customWidth="1"/>
    <col min="3876" max="3876" width="9.125" style="201" customWidth="1"/>
    <col min="3877" max="3883" width="9.625" style="201" customWidth="1"/>
    <col min="3884" max="3884" width="19.25" style="201" customWidth="1"/>
    <col min="3885" max="3885" width="22.125" style="201" customWidth="1"/>
    <col min="3886" max="3886" width="16.75" style="201" customWidth="1"/>
    <col min="3887" max="3887" width="13.625" style="201" customWidth="1"/>
    <col min="3888" max="3888" width="12" style="201" customWidth="1"/>
    <col min="3889" max="3889" width="9.25" style="201" customWidth="1"/>
    <col min="3890" max="3890" width="15.25" style="201" customWidth="1"/>
    <col min="3891" max="3891" width="9.75" style="201" customWidth="1"/>
    <col min="3892" max="3892" width="2.625" style="201" customWidth="1"/>
    <col min="3893" max="3893" width="23.875" style="201" customWidth="1"/>
    <col min="3894" max="4107" width="9.125" style="201"/>
    <col min="4108" max="4108" width="6.25" style="201" customWidth="1"/>
    <col min="4109" max="4109" width="35.625" style="201" customWidth="1"/>
    <col min="4110" max="4112" width="0" style="201" hidden="1" customWidth="1"/>
    <col min="4113" max="4113" width="17.25" style="201" customWidth="1"/>
    <col min="4114" max="4114" width="11.25" style="201" customWidth="1"/>
    <col min="4115" max="4115" width="9.625" style="201" customWidth="1"/>
    <col min="4116" max="4121" width="0" style="201" hidden="1" customWidth="1"/>
    <col min="4122" max="4122" width="11.25" style="201" customWidth="1"/>
    <col min="4123" max="4123" width="11.125" style="201" customWidth="1"/>
    <col min="4124" max="4124" width="8.125" style="201" customWidth="1"/>
    <col min="4125" max="4125" width="9.25" style="201" customWidth="1"/>
    <col min="4126" max="4126" width="9" style="201" customWidth="1"/>
    <col min="4127" max="4127" width="9.25" style="201" customWidth="1"/>
    <col min="4128" max="4129" width="0" style="201" hidden="1" customWidth="1"/>
    <col min="4130" max="4130" width="9.125" style="201" customWidth="1"/>
    <col min="4131" max="4131" width="10.125" style="201" customWidth="1"/>
    <col min="4132" max="4132" width="9.125" style="201" customWidth="1"/>
    <col min="4133" max="4139" width="9.625" style="201" customWidth="1"/>
    <col min="4140" max="4140" width="19.25" style="201" customWidth="1"/>
    <col min="4141" max="4141" width="22.125" style="201" customWidth="1"/>
    <col min="4142" max="4142" width="16.75" style="201" customWidth="1"/>
    <col min="4143" max="4143" width="13.625" style="201" customWidth="1"/>
    <col min="4144" max="4144" width="12" style="201" customWidth="1"/>
    <col min="4145" max="4145" width="9.25" style="201" customWidth="1"/>
    <col min="4146" max="4146" width="15.25" style="201" customWidth="1"/>
    <col min="4147" max="4147" width="9.75" style="201" customWidth="1"/>
    <col min="4148" max="4148" width="2.625" style="201" customWidth="1"/>
    <col min="4149" max="4149" width="23.875" style="201" customWidth="1"/>
    <col min="4150" max="4363" width="9.125" style="201"/>
    <col min="4364" max="4364" width="6.25" style="201" customWidth="1"/>
    <col min="4365" max="4365" width="35.625" style="201" customWidth="1"/>
    <col min="4366" max="4368" width="0" style="201" hidden="1" customWidth="1"/>
    <col min="4369" max="4369" width="17.25" style="201" customWidth="1"/>
    <col min="4370" max="4370" width="11.25" style="201" customWidth="1"/>
    <col min="4371" max="4371" width="9.625" style="201" customWidth="1"/>
    <col min="4372" max="4377" width="0" style="201" hidden="1" customWidth="1"/>
    <col min="4378" max="4378" width="11.25" style="201" customWidth="1"/>
    <col min="4379" max="4379" width="11.125" style="201" customWidth="1"/>
    <col min="4380" max="4380" width="8.125" style="201" customWidth="1"/>
    <col min="4381" max="4381" width="9.25" style="201" customWidth="1"/>
    <col min="4382" max="4382" width="9" style="201" customWidth="1"/>
    <col min="4383" max="4383" width="9.25" style="201" customWidth="1"/>
    <col min="4384" max="4385" width="0" style="201" hidden="1" customWidth="1"/>
    <col min="4386" max="4386" width="9.125" style="201" customWidth="1"/>
    <col min="4387" max="4387" width="10.125" style="201" customWidth="1"/>
    <col min="4388" max="4388" width="9.125" style="201" customWidth="1"/>
    <col min="4389" max="4395" width="9.625" style="201" customWidth="1"/>
    <col min="4396" max="4396" width="19.25" style="201" customWidth="1"/>
    <col min="4397" max="4397" width="22.125" style="201" customWidth="1"/>
    <col min="4398" max="4398" width="16.75" style="201" customWidth="1"/>
    <col min="4399" max="4399" width="13.625" style="201" customWidth="1"/>
    <col min="4400" max="4400" width="12" style="201" customWidth="1"/>
    <col min="4401" max="4401" width="9.25" style="201" customWidth="1"/>
    <col min="4402" max="4402" width="15.25" style="201" customWidth="1"/>
    <col min="4403" max="4403" width="9.75" style="201" customWidth="1"/>
    <col min="4404" max="4404" width="2.625" style="201" customWidth="1"/>
    <col min="4405" max="4405" width="23.875" style="201" customWidth="1"/>
    <col min="4406" max="4619" width="9.125" style="201"/>
    <col min="4620" max="4620" width="6.25" style="201" customWidth="1"/>
    <col min="4621" max="4621" width="35.625" style="201" customWidth="1"/>
    <col min="4622" max="4624" width="0" style="201" hidden="1" customWidth="1"/>
    <col min="4625" max="4625" width="17.25" style="201" customWidth="1"/>
    <col min="4626" max="4626" width="11.25" style="201" customWidth="1"/>
    <col min="4627" max="4627" width="9.625" style="201" customWidth="1"/>
    <col min="4628" max="4633" width="0" style="201" hidden="1" customWidth="1"/>
    <col min="4634" max="4634" width="11.25" style="201" customWidth="1"/>
    <col min="4635" max="4635" width="11.125" style="201" customWidth="1"/>
    <col min="4636" max="4636" width="8.125" style="201" customWidth="1"/>
    <col min="4637" max="4637" width="9.25" style="201" customWidth="1"/>
    <col min="4638" max="4638" width="9" style="201" customWidth="1"/>
    <col min="4639" max="4639" width="9.25" style="201" customWidth="1"/>
    <col min="4640" max="4641" width="0" style="201" hidden="1" customWidth="1"/>
    <col min="4642" max="4642" width="9.125" style="201" customWidth="1"/>
    <col min="4643" max="4643" width="10.125" style="201" customWidth="1"/>
    <col min="4644" max="4644" width="9.125" style="201" customWidth="1"/>
    <col min="4645" max="4651" width="9.625" style="201" customWidth="1"/>
    <col min="4652" max="4652" width="19.25" style="201" customWidth="1"/>
    <col min="4653" max="4653" width="22.125" style="201" customWidth="1"/>
    <col min="4654" max="4654" width="16.75" style="201" customWidth="1"/>
    <col min="4655" max="4655" width="13.625" style="201" customWidth="1"/>
    <col min="4656" max="4656" width="12" style="201" customWidth="1"/>
    <col min="4657" max="4657" width="9.25" style="201" customWidth="1"/>
    <col min="4658" max="4658" width="15.25" style="201" customWidth="1"/>
    <col min="4659" max="4659" width="9.75" style="201" customWidth="1"/>
    <col min="4660" max="4660" width="2.625" style="201" customWidth="1"/>
    <col min="4661" max="4661" width="23.875" style="201" customWidth="1"/>
    <col min="4662" max="4875" width="9.125" style="201"/>
    <col min="4876" max="4876" width="6.25" style="201" customWidth="1"/>
    <col min="4877" max="4877" width="35.625" style="201" customWidth="1"/>
    <col min="4878" max="4880" width="0" style="201" hidden="1" customWidth="1"/>
    <col min="4881" max="4881" width="17.25" style="201" customWidth="1"/>
    <col min="4882" max="4882" width="11.25" style="201" customWidth="1"/>
    <col min="4883" max="4883" width="9.625" style="201" customWidth="1"/>
    <col min="4884" max="4889" width="0" style="201" hidden="1" customWidth="1"/>
    <col min="4890" max="4890" width="11.25" style="201" customWidth="1"/>
    <col min="4891" max="4891" width="11.125" style="201" customWidth="1"/>
    <col min="4892" max="4892" width="8.125" style="201" customWidth="1"/>
    <col min="4893" max="4893" width="9.25" style="201" customWidth="1"/>
    <col min="4894" max="4894" width="9" style="201" customWidth="1"/>
    <col min="4895" max="4895" width="9.25" style="201" customWidth="1"/>
    <col min="4896" max="4897" width="0" style="201" hidden="1" customWidth="1"/>
    <col min="4898" max="4898" width="9.125" style="201" customWidth="1"/>
    <col min="4899" max="4899" width="10.125" style="201" customWidth="1"/>
    <col min="4900" max="4900" width="9.125" style="201" customWidth="1"/>
    <col min="4901" max="4907" width="9.625" style="201" customWidth="1"/>
    <col min="4908" max="4908" width="19.25" style="201" customWidth="1"/>
    <col min="4909" max="4909" width="22.125" style="201" customWidth="1"/>
    <col min="4910" max="4910" width="16.75" style="201" customWidth="1"/>
    <col min="4911" max="4911" width="13.625" style="201" customWidth="1"/>
    <col min="4912" max="4912" width="12" style="201" customWidth="1"/>
    <col min="4913" max="4913" width="9.25" style="201" customWidth="1"/>
    <col min="4914" max="4914" width="15.25" style="201" customWidth="1"/>
    <col min="4915" max="4915" width="9.75" style="201" customWidth="1"/>
    <col min="4916" max="4916" width="2.625" style="201" customWidth="1"/>
    <col min="4917" max="4917" width="23.875" style="201" customWidth="1"/>
    <col min="4918" max="5131" width="9.125" style="201"/>
    <col min="5132" max="5132" width="6.25" style="201" customWidth="1"/>
    <col min="5133" max="5133" width="35.625" style="201" customWidth="1"/>
    <col min="5134" max="5136" width="0" style="201" hidden="1" customWidth="1"/>
    <col min="5137" max="5137" width="17.25" style="201" customWidth="1"/>
    <col min="5138" max="5138" width="11.25" style="201" customWidth="1"/>
    <col min="5139" max="5139" width="9.625" style="201" customWidth="1"/>
    <col min="5140" max="5145" width="0" style="201" hidden="1" customWidth="1"/>
    <col min="5146" max="5146" width="11.25" style="201" customWidth="1"/>
    <col min="5147" max="5147" width="11.125" style="201" customWidth="1"/>
    <col min="5148" max="5148" width="8.125" style="201" customWidth="1"/>
    <col min="5149" max="5149" width="9.25" style="201" customWidth="1"/>
    <col min="5150" max="5150" width="9" style="201" customWidth="1"/>
    <col min="5151" max="5151" width="9.25" style="201" customWidth="1"/>
    <col min="5152" max="5153" width="0" style="201" hidden="1" customWidth="1"/>
    <col min="5154" max="5154" width="9.125" style="201" customWidth="1"/>
    <col min="5155" max="5155" width="10.125" style="201" customWidth="1"/>
    <col min="5156" max="5156" width="9.125" style="201" customWidth="1"/>
    <col min="5157" max="5163" width="9.625" style="201" customWidth="1"/>
    <col min="5164" max="5164" width="19.25" style="201" customWidth="1"/>
    <col min="5165" max="5165" width="22.125" style="201" customWidth="1"/>
    <col min="5166" max="5166" width="16.75" style="201" customWidth="1"/>
    <col min="5167" max="5167" width="13.625" style="201" customWidth="1"/>
    <col min="5168" max="5168" width="12" style="201" customWidth="1"/>
    <col min="5169" max="5169" width="9.25" style="201" customWidth="1"/>
    <col min="5170" max="5170" width="15.25" style="201" customWidth="1"/>
    <col min="5171" max="5171" width="9.75" style="201" customWidth="1"/>
    <col min="5172" max="5172" width="2.625" style="201" customWidth="1"/>
    <col min="5173" max="5173" width="23.875" style="201" customWidth="1"/>
    <col min="5174" max="5387" width="9.125" style="201"/>
    <col min="5388" max="5388" width="6.25" style="201" customWidth="1"/>
    <col min="5389" max="5389" width="35.625" style="201" customWidth="1"/>
    <col min="5390" max="5392" width="0" style="201" hidden="1" customWidth="1"/>
    <col min="5393" max="5393" width="17.25" style="201" customWidth="1"/>
    <col min="5394" max="5394" width="11.25" style="201" customWidth="1"/>
    <col min="5395" max="5395" width="9.625" style="201" customWidth="1"/>
    <col min="5396" max="5401" width="0" style="201" hidden="1" customWidth="1"/>
    <col min="5402" max="5402" width="11.25" style="201" customWidth="1"/>
    <col min="5403" max="5403" width="11.125" style="201" customWidth="1"/>
    <col min="5404" max="5404" width="8.125" style="201" customWidth="1"/>
    <col min="5405" max="5405" width="9.25" style="201" customWidth="1"/>
    <col min="5406" max="5406" width="9" style="201" customWidth="1"/>
    <col min="5407" max="5407" width="9.25" style="201" customWidth="1"/>
    <col min="5408" max="5409" width="0" style="201" hidden="1" customWidth="1"/>
    <col min="5410" max="5410" width="9.125" style="201" customWidth="1"/>
    <col min="5411" max="5411" width="10.125" style="201" customWidth="1"/>
    <col min="5412" max="5412" width="9.125" style="201" customWidth="1"/>
    <col min="5413" max="5419" width="9.625" style="201" customWidth="1"/>
    <col min="5420" max="5420" width="19.25" style="201" customWidth="1"/>
    <col min="5421" max="5421" width="22.125" style="201" customWidth="1"/>
    <col min="5422" max="5422" width="16.75" style="201" customWidth="1"/>
    <col min="5423" max="5423" width="13.625" style="201" customWidth="1"/>
    <col min="5424" max="5424" width="12" style="201" customWidth="1"/>
    <col min="5425" max="5425" width="9.25" style="201" customWidth="1"/>
    <col min="5426" max="5426" width="15.25" style="201" customWidth="1"/>
    <col min="5427" max="5427" width="9.75" style="201" customWidth="1"/>
    <col min="5428" max="5428" width="2.625" style="201" customWidth="1"/>
    <col min="5429" max="5429" width="23.875" style="201" customWidth="1"/>
    <col min="5430" max="5643" width="9.125" style="201"/>
    <col min="5644" max="5644" width="6.25" style="201" customWidth="1"/>
    <col min="5645" max="5645" width="35.625" style="201" customWidth="1"/>
    <col min="5646" max="5648" width="0" style="201" hidden="1" customWidth="1"/>
    <col min="5649" max="5649" width="17.25" style="201" customWidth="1"/>
    <col min="5650" max="5650" width="11.25" style="201" customWidth="1"/>
    <col min="5651" max="5651" width="9.625" style="201" customWidth="1"/>
    <col min="5652" max="5657" width="0" style="201" hidden="1" customWidth="1"/>
    <col min="5658" max="5658" width="11.25" style="201" customWidth="1"/>
    <col min="5659" max="5659" width="11.125" style="201" customWidth="1"/>
    <col min="5660" max="5660" width="8.125" style="201" customWidth="1"/>
    <col min="5661" max="5661" width="9.25" style="201" customWidth="1"/>
    <col min="5662" max="5662" width="9" style="201" customWidth="1"/>
    <col min="5663" max="5663" width="9.25" style="201" customWidth="1"/>
    <col min="5664" max="5665" width="0" style="201" hidden="1" customWidth="1"/>
    <col min="5666" max="5666" width="9.125" style="201" customWidth="1"/>
    <col min="5667" max="5667" width="10.125" style="201" customWidth="1"/>
    <col min="5668" max="5668" width="9.125" style="201" customWidth="1"/>
    <col min="5669" max="5675" width="9.625" style="201" customWidth="1"/>
    <col min="5676" max="5676" width="19.25" style="201" customWidth="1"/>
    <col min="5677" max="5677" width="22.125" style="201" customWidth="1"/>
    <col min="5678" max="5678" width="16.75" style="201" customWidth="1"/>
    <col min="5679" max="5679" width="13.625" style="201" customWidth="1"/>
    <col min="5680" max="5680" width="12" style="201" customWidth="1"/>
    <col min="5681" max="5681" width="9.25" style="201" customWidth="1"/>
    <col min="5682" max="5682" width="15.25" style="201" customWidth="1"/>
    <col min="5683" max="5683" width="9.75" style="201" customWidth="1"/>
    <col min="5684" max="5684" width="2.625" style="201" customWidth="1"/>
    <col min="5685" max="5685" width="23.875" style="201" customWidth="1"/>
    <col min="5686" max="5899" width="9.125" style="201"/>
    <col min="5900" max="5900" width="6.25" style="201" customWidth="1"/>
    <col min="5901" max="5901" width="35.625" style="201" customWidth="1"/>
    <col min="5902" max="5904" width="0" style="201" hidden="1" customWidth="1"/>
    <col min="5905" max="5905" width="17.25" style="201" customWidth="1"/>
    <col min="5906" max="5906" width="11.25" style="201" customWidth="1"/>
    <col min="5907" max="5907" width="9.625" style="201" customWidth="1"/>
    <col min="5908" max="5913" width="0" style="201" hidden="1" customWidth="1"/>
    <col min="5914" max="5914" width="11.25" style="201" customWidth="1"/>
    <col min="5915" max="5915" width="11.125" style="201" customWidth="1"/>
    <col min="5916" max="5916" width="8.125" style="201" customWidth="1"/>
    <col min="5917" max="5917" width="9.25" style="201" customWidth="1"/>
    <col min="5918" max="5918" width="9" style="201" customWidth="1"/>
    <col min="5919" max="5919" width="9.25" style="201" customWidth="1"/>
    <col min="5920" max="5921" width="0" style="201" hidden="1" customWidth="1"/>
    <col min="5922" max="5922" width="9.125" style="201" customWidth="1"/>
    <col min="5923" max="5923" width="10.125" style="201" customWidth="1"/>
    <col min="5924" max="5924" width="9.125" style="201" customWidth="1"/>
    <col min="5925" max="5931" width="9.625" style="201" customWidth="1"/>
    <col min="5932" max="5932" width="19.25" style="201" customWidth="1"/>
    <col min="5933" max="5933" width="22.125" style="201" customWidth="1"/>
    <col min="5934" max="5934" width="16.75" style="201" customWidth="1"/>
    <col min="5935" max="5935" width="13.625" style="201" customWidth="1"/>
    <col min="5936" max="5936" width="12" style="201" customWidth="1"/>
    <col min="5937" max="5937" width="9.25" style="201" customWidth="1"/>
    <col min="5938" max="5938" width="15.25" style="201" customWidth="1"/>
    <col min="5939" max="5939" width="9.75" style="201" customWidth="1"/>
    <col min="5940" max="5940" width="2.625" style="201" customWidth="1"/>
    <col min="5941" max="5941" width="23.875" style="201" customWidth="1"/>
    <col min="5942" max="6155" width="9.125" style="201"/>
    <col min="6156" max="6156" width="6.25" style="201" customWidth="1"/>
    <col min="6157" max="6157" width="35.625" style="201" customWidth="1"/>
    <col min="6158" max="6160" width="0" style="201" hidden="1" customWidth="1"/>
    <col min="6161" max="6161" width="17.25" style="201" customWidth="1"/>
    <col min="6162" max="6162" width="11.25" style="201" customWidth="1"/>
    <col min="6163" max="6163" width="9.625" style="201" customWidth="1"/>
    <col min="6164" max="6169" width="0" style="201" hidden="1" customWidth="1"/>
    <col min="6170" max="6170" width="11.25" style="201" customWidth="1"/>
    <col min="6171" max="6171" width="11.125" style="201" customWidth="1"/>
    <col min="6172" max="6172" width="8.125" style="201" customWidth="1"/>
    <col min="6173" max="6173" width="9.25" style="201" customWidth="1"/>
    <col min="6174" max="6174" width="9" style="201" customWidth="1"/>
    <col min="6175" max="6175" width="9.25" style="201" customWidth="1"/>
    <col min="6176" max="6177" width="0" style="201" hidden="1" customWidth="1"/>
    <col min="6178" max="6178" width="9.125" style="201" customWidth="1"/>
    <col min="6179" max="6179" width="10.125" style="201" customWidth="1"/>
    <col min="6180" max="6180" width="9.125" style="201" customWidth="1"/>
    <col min="6181" max="6187" width="9.625" style="201" customWidth="1"/>
    <col min="6188" max="6188" width="19.25" style="201" customWidth="1"/>
    <col min="6189" max="6189" width="22.125" style="201" customWidth="1"/>
    <col min="6190" max="6190" width="16.75" style="201" customWidth="1"/>
    <col min="6191" max="6191" width="13.625" style="201" customWidth="1"/>
    <col min="6192" max="6192" width="12" style="201" customWidth="1"/>
    <col min="6193" max="6193" width="9.25" style="201" customWidth="1"/>
    <col min="6194" max="6194" width="15.25" style="201" customWidth="1"/>
    <col min="6195" max="6195" width="9.75" style="201" customWidth="1"/>
    <col min="6196" max="6196" width="2.625" style="201" customWidth="1"/>
    <col min="6197" max="6197" width="23.875" style="201" customWidth="1"/>
    <col min="6198" max="6411" width="9.125" style="201"/>
    <col min="6412" max="6412" width="6.25" style="201" customWidth="1"/>
    <col min="6413" max="6413" width="35.625" style="201" customWidth="1"/>
    <col min="6414" max="6416" width="0" style="201" hidden="1" customWidth="1"/>
    <col min="6417" max="6417" width="17.25" style="201" customWidth="1"/>
    <col min="6418" max="6418" width="11.25" style="201" customWidth="1"/>
    <col min="6419" max="6419" width="9.625" style="201" customWidth="1"/>
    <col min="6420" max="6425" width="0" style="201" hidden="1" customWidth="1"/>
    <col min="6426" max="6426" width="11.25" style="201" customWidth="1"/>
    <col min="6427" max="6427" width="11.125" style="201" customWidth="1"/>
    <col min="6428" max="6428" width="8.125" style="201" customWidth="1"/>
    <col min="6429" max="6429" width="9.25" style="201" customWidth="1"/>
    <col min="6430" max="6430" width="9" style="201" customWidth="1"/>
    <col min="6431" max="6431" width="9.25" style="201" customWidth="1"/>
    <col min="6432" max="6433" width="0" style="201" hidden="1" customWidth="1"/>
    <col min="6434" max="6434" width="9.125" style="201" customWidth="1"/>
    <col min="6435" max="6435" width="10.125" style="201" customWidth="1"/>
    <col min="6436" max="6436" width="9.125" style="201" customWidth="1"/>
    <col min="6437" max="6443" width="9.625" style="201" customWidth="1"/>
    <col min="6444" max="6444" width="19.25" style="201" customWidth="1"/>
    <col min="6445" max="6445" width="22.125" style="201" customWidth="1"/>
    <col min="6446" max="6446" width="16.75" style="201" customWidth="1"/>
    <col min="6447" max="6447" width="13.625" style="201" customWidth="1"/>
    <col min="6448" max="6448" width="12" style="201" customWidth="1"/>
    <col min="6449" max="6449" width="9.25" style="201" customWidth="1"/>
    <col min="6450" max="6450" width="15.25" style="201" customWidth="1"/>
    <col min="6451" max="6451" width="9.75" style="201" customWidth="1"/>
    <col min="6452" max="6452" width="2.625" style="201" customWidth="1"/>
    <col min="6453" max="6453" width="23.875" style="201" customWidth="1"/>
    <col min="6454" max="6667" width="9.125" style="201"/>
    <col min="6668" max="6668" width="6.25" style="201" customWidth="1"/>
    <col min="6669" max="6669" width="35.625" style="201" customWidth="1"/>
    <col min="6670" max="6672" width="0" style="201" hidden="1" customWidth="1"/>
    <col min="6673" max="6673" width="17.25" style="201" customWidth="1"/>
    <col min="6674" max="6674" width="11.25" style="201" customWidth="1"/>
    <col min="6675" max="6675" width="9.625" style="201" customWidth="1"/>
    <col min="6676" max="6681" width="0" style="201" hidden="1" customWidth="1"/>
    <col min="6682" max="6682" width="11.25" style="201" customWidth="1"/>
    <col min="6683" max="6683" width="11.125" style="201" customWidth="1"/>
    <col min="6684" max="6684" width="8.125" style="201" customWidth="1"/>
    <col min="6685" max="6685" width="9.25" style="201" customWidth="1"/>
    <col min="6686" max="6686" width="9" style="201" customWidth="1"/>
    <col min="6687" max="6687" width="9.25" style="201" customWidth="1"/>
    <col min="6688" max="6689" width="0" style="201" hidden="1" customWidth="1"/>
    <col min="6690" max="6690" width="9.125" style="201" customWidth="1"/>
    <col min="6691" max="6691" width="10.125" style="201" customWidth="1"/>
    <col min="6692" max="6692" width="9.125" style="201" customWidth="1"/>
    <col min="6693" max="6699" width="9.625" style="201" customWidth="1"/>
    <col min="6700" max="6700" width="19.25" style="201" customWidth="1"/>
    <col min="6701" max="6701" width="22.125" style="201" customWidth="1"/>
    <col min="6702" max="6702" width="16.75" style="201" customWidth="1"/>
    <col min="6703" max="6703" width="13.625" style="201" customWidth="1"/>
    <col min="6704" max="6704" width="12" style="201" customWidth="1"/>
    <col min="6705" max="6705" width="9.25" style="201" customWidth="1"/>
    <col min="6706" max="6706" width="15.25" style="201" customWidth="1"/>
    <col min="6707" max="6707" width="9.75" style="201" customWidth="1"/>
    <col min="6708" max="6708" width="2.625" style="201" customWidth="1"/>
    <col min="6709" max="6709" width="23.875" style="201" customWidth="1"/>
    <col min="6710" max="6923" width="9.125" style="201"/>
    <col min="6924" max="6924" width="6.25" style="201" customWidth="1"/>
    <col min="6925" max="6925" width="35.625" style="201" customWidth="1"/>
    <col min="6926" max="6928" width="0" style="201" hidden="1" customWidth="1"/>
    <col min="6929" max="6929" width="17.25" style="201" customWidth="1"/>
    <col min="6930" max="6930" width="11.25" style="201" customWidth="1"/>
    <col min="6931" max="6931" width="9.625" style="201" customWidth="1"/>
    <col min="6932" max="6937" width="0" style="201" hidden="1" customWidth="1"/>
    <col min="6938" max="6938" width="11.25" style="201" customWidth="1"/>
    <col min="6939" max="6939" width="11.125" style="201" customWidth="1"/>
    <col min="6940" max="6940" width="8.125" style="201" customWidth="1"/>
    <col min="6941" max="6941" width="9.25" style="201" customWidth="1"/>
    <col min="6942" max="6942" width="9" style="201" customWidth="1"/>
    <col min="6943" max="6943" width="9.25" style="201" customWidth="1"/>
    <col min="6944" max="6945" width="0" style="201" hidden="1" customWidth="1"/>
    <col min="6946" max="6946" width="9.125" style="201" customWidth="1"/>
    <col min="6947" max="6947" width="10.125" style="201" customWidth="1"/>
    <col min="6948" max="6948" width="9.125" style="201" customWidth="1"/>
    <col min="6949" max="6955" width="9.625" style="201" customWidth="1"/>
    <col min="6956" max="6956" width="19.25" style="201" customWidth="1"/>
    <col min="6957" max="6957" width="22.125" style="201" customWidth="1"/>
    <col min="6958" max="6958" width="16.75" style="201" customWidth="1"/>
    <col min="6959" max="6959" width="13.625" style="201" customWidth="1"/>
    <col min="6960" max="6960" width="12" style="201" customWidth="1"/>
    <col min="6961" max="6961" width="9.25" style="201" customWidth="1"/>
    <col min="6962" max="6962" width="15.25" style="201" customWidth="1"/>
    <col min="6963" max="6963" width="9.75" style="201" customWidth="1"/>
    <col min="6964" max="6964" width="2.625" style="201" customWidth="1"/>
    <col min="6965" max="6965" width="23.875" style="201" customWidth="1"/>
    <col min="6966" max="7179" width="9.125" style="201"/>
    <col min="7180" max="7180" width="6.25" style="201" customWidth="1"/>
    <col min="7181" max="7181" width="35.625" style="201" customWidth="1"/>
    <col min="7182" max="7184" width="0" style="201" hidden="1" customWidth="1"/>
    <col min="7185" max="7185" width="17.25" style="201" customWidth="1"/>
    <col min="7186" max="7186" width="11.25" style="201" customWidth="1"/>
    <col min="7187" max="7187" width="9.625" style="201" customWidth="1"/>
    <col min="7188" max="7193" width="0" style="201" hidden="1" customWidth="1"/>
    <col min="7194" max="7194" width="11.25" style="201" customWidth="1"/>
    <col min="7195" max="7195" width="11.125" style="201" customWidth="1"/>
    <col min="7196" max="7196" width="8.125" style="201" customWidth="1"/>
    <col min="7197" max="7197" width="9.25" style="201" customWidth="1"/>
    <col min="7198" max="7198" width="9" style="201" customWidth="1"/>
    <col min="7199" max="7199" width="9.25" style="201" customWidth="1"/>
    <col min="7200" max="7201" width="0" style="201" hidden="1" customWidth="1"/>
    <col min="7202" max="7202" width="9.125" style="201" customWidth="1"/>
    <col min="7203" max="7203" width="10.125" style="201" customWidth="1"/>
    <col min="7204" max="7204" width="9.125" style="201" customWidth="1"/>
    <col min="7205" max="7211" width="9.625" style="201" customWidth="1"/>
    <col min="7212" max="7212" width="19.25" style="201" customWidth="1"/>
    <col min="7213" max="7213" width="22.125" style="201" customWidth="1"/>
    <col min="7214" max="7214" width="16.75" style="201" customWidth="1"/>
    <col min="7215" max="7215" width="13.625" style="201" customWidth="1"/>
    <col min="7216" max="7216" width="12" style="201" customWidth="1"/>
    <col min="7217" max="7217" width="9.25" style="201" customWidth="1"/>
    <col min="7218" max="7218" width="15.25" style="201" customWidth="1"/>
    <col min="7219" max="7219" width="9.75" style="201" customWidth="1"/>
    <col min="7220" max="7220" width="2.625" style="201" customWidth="1"/>
    <col min="7221" max="7221" width="23.875" style="201" customWidth="1"/>
    <col min="7222" max="7435" width="9.125" style="201"/>
    <col min="7436" max="7436" width="6.25" style="201" customWidth="1"/>
    <col min="7437" max="7437" width="35.625" style="201" customWidth="1"/>
    <col min="7438" max="7440" width="0" style="201" hidden="1" customWidth="1"/>
    <col min="7441" max="7441" width="17.25" style="201" customWidth="1"/>
    <col min="7442" max="7442" width="11.25" style="201" customWidth="1"/>
    <col min="7443" max="7443" width="9.625" style="201" customWidth="1"/>
    <col min="7444" max="7449" width="0" style="201" hidden="1" customWidth="1"/>
    <col min="7450" max="7450" width="11.25" style="201" customWidth="1"/>
    <col min="7451" max="7451" width="11.125" style="201" customWidth="1"/>
    <col min="7452" max="7452" width="8.125" style="201" customWidth="1"/>
    <col min="7453" max="7453" width="9.25" style="201" customWidth="1"/>
    <col min="7454" max="7454" width="9" style="201" customWidth="1"/>
    <col min="7455" max="7455" width="9.25" style="201" customWidth="1"/>
    <col min="7456" max="7457" width="0" style="201" hidden="1" customWidth="1"/>
    <col min="7458" max="7458" width="9.125" style="201" customWidth="1"/>
    <col min="7459" max="7459" width="10.125" style="201" customWidth="1"/>
    <col min="7460" max="7460" width="9.125" style="201" customWidth="1"/>
    <col min="7461" max="7467" width="9.625" style="201" customWidth="1"/>
    <col min="7468" max="7468" width="19.25" style="201" customWidth="1"/>
    <col min="7469" max="7469" width="22.125" style="201" customWidth="1"/>
    <col min="7470" max="7470" width="16.75" style="201" customWidth="1"/>
    <col min="7471" max="7471" width="13.625" style="201" customWidth="1"/>
    <col min="7472" max="7472" width="12" style="201" customWidth="1"/>
    <col min="7473" max="7473" width="9.25" style="201" customWidth="1"/>
    <col min="7474" max="7474" width="15.25" style="201" customWidth="1"/>
    <col min="7475" max="7475" width="9.75" style="201" customWidth="1"/>
    <col min="7476" max="7476" width="2.625" style="201" customWidth="1"/>
    <col min="7477" max="7477" width="23.875" style="201" customWidth="1"/>
    <col min="7478" max="7691" width="9.125" style="201"/>
    <col min="7692" max="7692" width="6.25" style="201" customWidth="1"/>
    <col min="7693" max="7693" width="35.625" style="201" customWidth="1"/>
    <col min="7694" max="7696" width="0" style="201" hidden="1" customWidth="1"/>
    <col min="7697" max="7697" width="17.25" style="201" customWidth="1"/>
    <col min="7698" max="7698" width="11.25" style="201" customWidth="1"/>
    <col min="7699" max="7699" width="9.625" style="201" customWidth="1"/>
    <col min="7700" max="7705" width="0" style="201" hidden="1" customWidth="1"/>
    <col min="7706" max="7706" width="11.25" style="201" customWidth="1"/>
    <col min="7707" max="7707" width="11.125" style="201" customWidth="1"/>
    <col min="7708" max="7708" width="8.125" style="201" customWidth="1"/>
    <col min="7709" max="7709" width="9.25" style="201" customWidth="1"/>
    <col min="7710" max="7710" width="9" style="201" customWidth="1"/>
    <col min="7711" max="7711" width="9.25" style="201" customWidth="1"/>
    <col min="7712" max="7713" width="0" style="201" hidden="1" customWidth="1"/>
    <col min="7714" max="7714" width="9.125" style="201" customWidth="1"/>
    <col min="7715" max="7715" width="10.125" style="201" customWidth="1"/>
    <col min="7716" max="7716" width="9.125" style="201" customWidth="1"/>
    <col min="7717" max="7723" width="9.625" style="201" customWidth="1"/>
    <col min="7724" max="7724" width="19.25" style="201" customWidth="1"/>
    <col min="7725" max="7725" width="22.125" style="201" customWidth="1"/>
    <col min="7726" max="7726" width="16.75" style="201" customWidth="1"/>
    <col min="7727" max="7727" width="13.625" style="201" customWidth="1"/>
    <col min="7728" max="7728" width="12" style="201" customWidth="1"/>
    <col min="7729" max="7729" width="9.25" style="201" customWidth="1"/>
    <col min="7730" max="7730" width="15.25" style="201" customWidth="1"/>
    <col min="7731" max="7731" width="9.75" style="201" customWidth="1"/>
    <col min="7732" max="7732" width="2.625" style="201" customWidth="1"/>
    <col min="7733" max="7733" width="23.875" style="201" customWidth="1"/>
    <col min="7734" max="7947" width="9.125" style="201"/>
    <col min="7948" max="7948" width="6.25" style="201" customWidth="1"/>
    <col min="7949" max="7949" width="35.625" style="201" customWidth="1"/>
    <col min="7950" max="7952" width="0" style="201" hidden="1" customWidth="1"/>
    <col min="7953" max="7953" width="17.25" style="201" customWidth="1"/>
    <col min="7954" max="7954" width="11.25" style="201" customWidth="1"/>
    <col min="7955" max="7955" width="9.625" style="201" customWidth="1"/>
    <col min="7956" max="7961" width="0" style="201" hidden="1" customWidth="1"/>
    <col min="7962" max="7962" width="11.25" style="201" customWidth="1"/>
    <col min="7963" max="7963" width="11.125" style="201" customWidth="1"/>
    <col min="7964" max="7964" width="8.125" style="201" customWidth="1"/>
    <col min="7965" max="7965" width="9.25" style="201" customWidth="1"/>
    <col min="7966" max="7966" width="9" style="201" customWidth="1"/>
    <col min="7967" max="7967" width="9.25" style="201" customWidth="1"/>
    <col min="7968" max="7969" width="0" style="201" hidden="1" customWidth="1"/>
    <col min="7970" max="7970" width="9.125" style="201" customWidth="1"/>
    <col min="7971" max="7971" width="10.125" style="201" customWidth="1"/>
    <col min="7972" max="7972" width="9.125" style="201" customWidth="1"/>
    <col min="7973" max="7979" width="9.625" style="201" customWidth="1"/>
    <col min="7980" max="7980" width="19.25" style="201" customWidth="1"/>
    <col min="7981" max="7981" width="22.125" style="201" customWidth="1"/>
    <col min="7982" max="7982" width="16.75" style="201" customWidth="1"/>
    <col min="7983" max="7983" width="13.625" style="201" customWidth="1"/>
    <col min="7984" max="7984" width="12" style="201" customWidth="1"/>
    <col min="7985" max="7985" width="9.25" style="201" customWidth="1"/>
    <col min="7986" max="7986" width="15.25" style="201" customWidth="1"/>
    <col min="7987" max="7987" width="9.75" style="201" customWidth="1"/>
    <col min="7988" max="7988" width="2.625" style="201" customWidth="1"/>
    <col min="7989" max="7989" width="23.875" style="201" customWidth="1"/>
    <col min="7990" max="8203" width="9.125" style="201"/>
    <col min="8204" max="8204" width="6.25" style="201" customWidth="1"/>
    <col min="8205" max="8205" width="35.625" style="201" customWidth="1"/>
    <col min="8206" max="8208" width="0" style="201" hidden="1" customWidth="1"/>
    <col min="8209" max="8209" width="17.25" style="201" customWidth="1"/>
    <col min="8210" max="8210" width="11.25" style="201" customWidth="1"/>
    <col min="8211" max="8211" width="9.625" style="201" customWidth="1"/>
    <col min="8212" max="8217" width="0" style="201" hidden="1" customWidth="1"/>
    <col min="8218" max="8218" width="11.25" style="201" customWidth="1"/>
    <col min="8219" max="8219" width="11.125" style="201" customWidth="1"/>
    <col min="8220" max="8220" width="8.125" style="201" customWidth="1"/>
    <col min="8221" max="8221" width="9.25" style="201" customWidth="1"/>
    <col min="8222" max="8222" width="9" style="201" customWidth="1"/>
    <col min="8223" max="8223" width="9.25" style="201" customWidth="1"/>
    <col min="8224" max="8225" width="0" style="201" hidden="1" customWidth="1"/>
    <col min="8226" max="8226" width="9.125" style="201" customWidth="1"/>
    <col min="8227" max="8227" width="10.125" style="201" customWidth="1"/>
    <col min="8228" max="8228" width="9.125" style="201" customWidth="1"/>
    <col min="8229" max="8235" width="9.625" style="201" customWidth="1"/>
    <col min="8236" max="8236" width="19.25" style="201" customWidth="1"/>
    <col min="8237" max="8237" width="22.125" style="201" customWidth="1"/>
    <col min="8238" max="8238" width="16.75" style="201" customWidth="1"/>
    <col min="8239" max="8239" width="13.625" style="201" customWidth="1"/>
    <col min="8240" max="8240" width="12" style="201" customWidth="1"/>
    <col min="8241" max="8241" width="9.25" style="201" customWidth="1"/>
    <col min="8242" max="8242" width="15.25" style="201" customWidth="1"/>
    <col min="8243" max="8243" width="9.75" style="201" customWidth="1"/>
    <col min="8244" max="8244" width="2.625" style="201" customWidth="1"/>
    <col min="8245" max="8245" width="23.875" style="201" customWidth="1"/>
    <col min="8246" max="8459" width="9.125" style="201"/>
    <col min="8460" max="8460" width="6.25" style="201" customWidth="1"/>
    <col min="8461" max="8461" width="35.625" style="201" customWidth="1"/>
    <col min="8462" max="8464" width="0" style="201" hidden="1" customWidth="1"/>
    <col min="8465" max="8465" width="17.25" style="201" customWidth="1"/>
    <col min="8466" max="8466" width="11.25" style="201" customWidth="1"/>
    <col min="8467" max="8467" width="9.625" style="201" customWidth="1"/>
    <col min="8468" max="8473" width="0" style="201" hidden="1" customWidth="1"/>
    <col min="8474" max="8474" width="11.25" style="201" customWidth="1"/>
    <col min="8475" max="8475" width="11.125" style="201" customWidth="1"/>
    <col min="8476" max="8476" width="8.125" style="201" customWidth="1"/>
    <col min="8477" max="8477" width="9.25" style="201" customWidth="1"/>
    <col min="8478" max="8478" width="9" style="201" customWidth="1"/>
    <col min="8479" max="8479" width="9.25" style="201" customWidth="1"/>
    <col min="8480" max="8481" width="0" style="201" hidden="1" customWidth="1"/>
    <col min="8482" max="8482" width="9.125" style="201" customWidth="1"/>
    <col min="8483" max="8483" width="10.125" style="201" customWidth="1"/>
    <col min="8484" max="8484" width="9.125" style="201" customWidth="1"/>
    <col min="8485" max="8491" width="9.625" style="201" customWidth="1"/>
    <col min="8492" max="8492" width="19.25" style="201" customWidth="1"/>
    <col min="8493" max="8493" width="22.125" style="201" customWidth="1"/>
    <col min="8494" max="8494" width="16.75" style="201" customWidth="1"/>
    <col min="8495" max="8495" width="13.625" style="201" customWidth="1"/>
    <col min="8496" max="8496" width="12" style="201" customWidth="1"/>
    <col min="8497" max="8497" width="9.25" style="201" customWidth="1"/>
    <col min="8498" max="8498" width="15.25" style="201" customWidth="1"/>
    <col min="8499" max="8499" width="9.75" style="201" customWidth="1"/>
    <col min="8500" max="8500" width="2.625" style="201" customWidth="1"/>
    <col min="8501" max="8501" width="23.875" style="201" customWidth="1"/>
    <col min="8502" max="8715" width="9.125" style="201"/>
    <col min="8716" max="8716" width="6.25" style="201" customWidth="1"/>
    <col min="8717" max="8717" width="35.625" style="201" customWidth="1"/>
    <col min="8718" max="8720" width="0" style="201" hidden="1" customWidth="1"/>
    <col min="8721" max="8721" width="17.25" style="201" customWidth="1"/>
    <col min="8722" max="8722" width="11.25" style="201" customWidth="1"/>
    <col min="8723" max="8723" width="9.625" style="201" customWidth="1"/>
    <col min="8724" max="8729" width="0" style="201" hidden="1" customWidth="1"/>
    <col min="8730" max="8730" width="11.25" style="201" customWidth="1"/>
    <col min="8731" max="8731" width="11.125" style="201" customWidth="1"/>
    <col min="8732" max="8732" width="8.125" style="201" customWidth="1"/>
    <col min="8733" max="8733" width="9.25" style="201" customWidth="1"/>
    <col min="8734" max="8734" width="9" style="201" customWidth="1"/>
    <col min="8735" max="8735" width="9.25" style="201" customWidth="1"/>
    <col min="8736" max="8737" width="0" style="201" hidden="1" customWidth="1"/>
    <col min="8738" max="8738" width="9.125" style="201" customWidth="1"/>
    <col min="8739" max="8739" width="10.125" style="201" customWidth="1"/>
    <col min="8740" max="8740" width="9.125" style="201" customWidth="1"/>
    <col min="8741" max="8747" width="9.625" style="201" customWidth="1"/>
    <col min="8748" max="8748" width="19.25" style="201" customWidth="1"/>
    <col min="8749" max="8749" width="22.125" style="201" customWidth="1"/>
    <col min="8750" max="8750" width="16.75" style="201" customWidth="1"/>
    <col min="8751" max="8751" width="13.625" style="201" customWidth="1"/>
    <col min="8752" max="8752" width="12" style="201" customWidth="1"/>
    <col min="8753" max="8753" width="9.25" style="201" customWidth="1"/>
    <col min="8754" max="8754" width="15.25" style="201" customWidth="1"/>
    <col min="8755" max="8755" width="9.75" style="201" customWidth="1"/>
    <col min="8756" max="8756" width="2.625" style="201" customWidth="1"/>
    <col min="8757" max="8757" width="23.875" style="201" customWidth="1"/>
    <col min="8758" max="8971" width="9.125" style="201"/>
    <col min="8972" max="8972" width="6.25" style="201" customWidth="1"/>
    <col min="8973" max="8973" width="35.625" style="201" customWidth="1"/>
    <col min="8974" max="8976" width="0" style="201" hidden="1" customWidth="1"/>
    <col min="8977" max="8977" width="17.25" style="201" customWidth="1"/>
    <col min="8978" max="8978" width="11.25" style="201" customWidth="1"/>
    <col min="8979" max="8979" width="9.625" style="201" customWidth="1"/>
    <col min="8980" max="8985" width="0" style="201" hidden="1" customWidth="1"/>
    <col min="8986" max="8986" width="11.25" style="201" customWidth="1"/>
    <col min="8987" max="8987" width="11.125" style="201" customWidth="1"/>
    <col min="8988" max="8988" width="8.125" style="201" customWidth="1"/>
    <col min="8989" max="8989" width="9.25" style="201" customWidth="1"/>
    <col min="8990" max="8990" width="9" style="201" customWidth="1"/>
    <col min="8991" max="8991" width="9.25" style="201" customWidth="1"/>
    <col min="8992" max="8993" width="0" style="201" hidden="1" customWidth="1"/>
    <col min="8994" max="8994" width="9.125" style="201" customWidth="1"/>
    <col min="8995" max="8995" width="10.125" style="201" customWidth="1"/>
    <col min="8996" max="8996" width="9.125" style="201" customWidth="1"/>
    <col min="8997" max="9003" width="9.625" style="201" customWidth="1"/>
    <col min="9004" max="9004" width="19.25" style="201" customWidth="1"/>
    <col min="9005" max="9005" width="22.125" style="201" customWidth="1"/>
    <col min="9006" max="9006" width="16.75" style="201" customWidth="1"/>
    <col min="9007" max="9007" width="13.625" style="201" customWidth="1"/>
    <col min="9008" max="9008" width="12" style="201" customWidth="1"/>
    <col min="9009" max="9009" width="9.25" style="201" customWidth="1"/>
    <col min="9010" max="9010" width="15.25" style="201" customWidth="1"/>
    <col min="9011" max="9011" width="9.75" style="201" customWidth="1"/>
    <col min="9012" max="9012" width="2.625" style="201" customWidth="1"/>
    <col min="9013" max="9013" width="23.875" style="201" customWidth="1"/>
    <col min="9014" max="9227" width="9.125" style="201"/>
    <col min="9228" max="9228" width="6.25" style="201" customWidth="1"/>
    <col min="9229" max="9229" width="35.625" style="201" customWidth="1"/>
    <col min="9230" max="9232" width="0" style="201" hidden="1" customWidth="1"/>
    <col min="9233" max="9233" width="17.25" style="201" customWidth="1"/>
    <col min="9234" max="9234" width="11.25" style="201" customWidth="1"/>
    <col min="9235" max="9235" width="9.625" style="201" customWidth="1"/>
    <col min="9236" max="9241" width="0" style="201" hidden="1" customWidth="1"/>
    <col min="9242" max="9242" width="11.25" style="201" customWidth="1"/>
    <col min="9243" max="9243" width="11.125" style="201" customWidth="1"/>
    <col min="9244" max="9244" width="8.125" style="201" customWidth="1"/>
    <col min="9245" max="9245" width="9.25" style="201" customWidth="1"/>
    <col min="9246" max="9246" width="9" style="201" customWidth="1"/>
    <col min="9247" max="9247" width="9.25" style="201" customWidth="1"/>
    <col min="9248" max="9249" width="0" style="201" hidden="1" customWidth="1"/>
    <col min="9250" max="9250" width="9.125" style="201" customWidth="1"/>
    <col min="9251" max="9251" width="10.125" style="201" customWidth="1"/>
    <col min="9252" max="9252" width="9.125" style="201" customWidth="1"/>
    <col min="9253" max="9259" width="9.625" style="201" customWidth="1"/>
    <col min="9260" max="9260" width="19.25" style="201" customWidth="1"/>
    <col min="9261" max="9261" width="22.125" style="201" customWidth="1"/>
    <col min="9262" max="9262" width="16.75" style="201" customWidth="1"/>
    <col min="9263" max="9263" width="13.625" style="201" customWidth="1"/>
    <col min="9264" max="9264" width="12" style="201" customWidth="1"/>
    <col min="9265" max="9265" width="9.25" style="201" customWidth="1"/>
    <col min="9266" max="9266" width="15.25" style="201" customWidth="1"/>
    <col min="9267" max="9267" width="9.75" style="201" customWidth="1"/>
    <col min="9268" max="9268" width="2.625" style="201" customWidth="1"/>
    <col min="9269" max="9269" width="23.875" style="201" customWidth="1"/>
    <col min="9270" max="9483" width="9.125" style="201"/>
    <col min="9484" max="9484" width="6.25" style="201" customWidth="1"/>
    <col min="9485" max="9485" width="35.625" style="201" customWidth="1"/>
    <col min="9486" max="9488" width="0" style="201" hidden="1" customWidth="1"/>
    <col min="9489" max="9489" width="17.25" style="201" customWidth="1"/>
    <col min="9490" max="9490" width="11.25" style="201" customWidth="1"/>
    <col min="9491" max="9491" width="9.625" style="201" customWidth="1"/>
    <col min="9492" max="9497" width="0" style="201" hidden="1" customWidth="1"/>
    <col min="9498" max="9498" width="11.25" style="201" customWidth="1"/>
    <col min="9499" max="9499" width="11.125" style="201" customWidth="1"/>
    <col min="9500" max="9500" width="8.125" style="201" customWidth="1"/>
    <col min="9501" max="9501" width="9.25" style="201" customWidth="1"/>
    <col min="9502" max="9502" width="9" style="201" customWidth="1"/>
    <col min="9503" max="9503" width="9.25" style="201" customWidth="1"/>
    <col min="9504" max="9505" width="0" style="201" hidden="1" customWidth="1"/>
    <col min="9506" max="9506" width="9.125" style="201" customWidth="1"/>
    <col min="9507" max="9507" width="10.125" style="201" customWidth="1"/>
    <col min="9508" max="9508" width="9.125" style="201" customWidth="1"/>
    <col min="9509" max="9515" width="9.625" style="201" customWidth="1"/>
    <col min="9516" max="9516" width="19.25" style="201" customWidth="1"/>
    <col min="9517" max="9517" width="22.125" style="201" customWidth="1"/>
    <col min="9518" max="9518" width="16.75" style="201" customWidth="1"/>
    <col min="9519" max="9519" width="13.625" style="201" customWidth="1"/>
    <col min="9520" max="9520" width="12" style="201" customWidth="1"/>
    <col min="9521" max="9521" width="9.25" style="201" customWidth="1"/>
    <col min="9522" max="9522" width="15.25" style="201" customWidth="1"/>
    <col min="9523" max="9523" width="9.75" style="201" customWidth="1"/>
    <col min="9524" max="9524" width="2.625" style="201" customWidth="1"/>
    <col min="9525" max="9525" width="23.875" style="201" customWidth="1"/>
    <col min="9526" max="9739" width="9.125" style="201"/>
    <col min="9740" max="9740" width="6.25" style="201" customWidth="1"/>
    <col min="9741" max="9741" width="35.625" style="201" customWidth="1"/>
    <col min="9742" max="9744" width="0" style="201" hidden="1" customWidth="1"/>
    <col min="9745" max="9745" width="17.25" style="201" customWidth="1"/>
    <col min="9746" max="9746" width="11.25" style="201" customWidth="1"/>
    <col min="9747" max="9747" width="9.625" style="201" customWidth="1"/>
    <col min="9748" max="9753" width="0" style="201" hidden="1" customWidth="1"/>
    <col min="9754" max="9754" width="11.25" style="201" customWidth="1"/>
    <col min="9755" max="9755" width="11.125" style="201" customWidth="1"/>
    <col min="9756" max="9756" width="8.125" style="201" customWidth="1"/>
    <col min="9757" max="9757" width="9.25" style="201" customWidth="1"/>
    <col min="9758" max="9758" width="9" style="201" customWidth="1"/>
    <col min="9759" max="9759" width="9.25" style="201" customWidth="1"/>
    <col min="9760" max="9761" width="0" style="201" hidden="1" customWidth="1"/>
    <col min="9762" max="9762" width="9.125" style="201" customWidth="1"/>
    <col min="9763" max="9763" width="10.125" style="201" customWidth="1"/>
    <col min="9764" max="9764" width="9.125" style="201" customWidth="1"/>
    <col min="9765" max="9771" width="9.625" style="201" customWidth="1"/>
    <col min="9772" max="9772" width="19.25" style="201" customWidth="1"/>
    <col min="9773" max="9773" width="22.125" style="201" customWidth="1"/>
    <col min="9774" max="9774" width="16.75" style="201" customWidth="1"/>
    <col min="9775" max="9775" width="13.625" style="201" customWidth="1"/>
    <col min="9776" max="9776" width="12" style="201" customWidth="1"/>
    <col min="9777" max="9777" width="9.25" style="201" customWidth="1"/>
    <col min="9778" max="9778" width="15.25" style="201" customWidth="1"/>
    <col min="9779" max="9779" width="9.75" style="201" customWidth="1"/>
    <col min="9780" max="9780" width="2.625" style="201" customWidth="1"/>
    <col min="9781" max="9781" width="23.875" style="201" customWidth="1"/>
    <col min="9782" max="9995" width="9.125" style="201"/>
    <col min="9996" max="9996" width="6.25" style="201" customWidth="1"/>
    <col min="9997" max="9997" width="35.625" style="201" customWidth="1"/>
    <col min="9998" max="10000" width="0" style="201" hidden="1" customWidth="1"/>
    <col min="10001" max="10001" width="17.25" style="201" customWidth="1"/>
    <col min="10002" max="10002" width="11.25" style="201" customWidth="1"/>
    <col min="10003" max="10003" width="9.625" style="201" customWidth="1"/>
    <col min="10004" max="10009" width="0" style="201" hidden="1" customWidth="1"/>
    <col min="10010" max="10010" width="11.25" style="201" customWidth="1"/>
    <col min="10011" max="10011" width="11.125" style="201" customWidth="1"/>
    <col min="10012" max="10012" width="8.125" style="201" customWidth="1"/>
    <col min="10013" max="10013" width="9.25" style="201" customWidth="1"/>
    <col min="10014" max="10014" width="9" style="201" customWidth="1"/>
    <col min="10015" max="10015" width="9.25" style="201" customWidth="1"/>
    <col min="10016" max="10017" width="0" style="201" hidden="1" customWidth="1"/>
    <col min="10018" max="10018" width="9.125" style="201" customWidth="1"/>
    <col min="10019" max="10019" width="10.125" style="201" customWidth="1"/>
    <col min="10020" max="10020" width="9.125" style="201" customWidth="1"/>
    <col min="10021" max="10027" width="9.625" style="201" customWidth="1"/>
    <col min="10028" max="10028" width="19.25" style="201" customWidth="1"/>
    <col min="10029" max="10029" width="22.125" style="201" customWidth="1"/>
    <col min="10030" max="10030" width="16.75" style="201" customWidth="1"/>
    <col min="10031" max="10031" width="13.625" style="201" customWidth="1"/>
    <col min="10032" max="10032" width="12" style="201" customWidth="1"/>
    <col min="10033" max="10033" width="9.25" style="201" customWidth="1"/>
    <col min="10034" max="10034" width="15.25" style="201" customWidth="1"/>
    <col min="10035" max="10035" width="9.75" style="201" customWidth="1"/>
    <col min="10036" max="10036" width="2.625" style="201" customWidth="1"/>
    <col min="10037" max="10037" width="23.875" style="201" customWidth="1"/>
    <col min="10038" max="10251" width="9.125" style="201"/>
    <col min="10252" max="10252" width="6.25" style="201" customWidth="1"/>
    <col min="10253" max="10253" width="35.625" style="201" customWidth="1"/>
    <col min="10254" max="10256" width="0" style="201" hidden="1" customWidth="1"/>
    <col min="10257" max="10257" width="17.25" style="201" customWidth="1"/>
    <col min="10258" max="10258" width="11.25" style="201" customWidth="1"/>
    <col min="10259" max="10259" width="9.625" style="201" customWidth="1"/>
    <col min="10260" max="10265" width="0" style="201" hidden="1" customWidth="1"/>
    <col min="10266" max="10266" width="11.25" style="201" customWidth="1"/>
    <col min="10267" max="10267" width="11.125" style="201" customWidth="1"/>
    <col min="10268" max="10268" width="8.125" style="201" customWidth="1"/>
    <col min="10269" max="10269" width="9.25" style="201" customWidth="1"/>
    <col min="10270" max="10270" width="9" style="201" customWidth="1"/>
    <col min="10271" max="10271" width="9.25" style="201" customWidth="1"/>
    <col min="10272" max="10273" width="0" style="201" hidden="1" customWidth="1"/>
    <col min="10274" max="10274" width="9.125" style="201" customWidth="1"/>
    <col min="10275" max="10275" width="10.125" style="201" customWidth="1"/>
    <col min="10276" max="10276" width="9.125" style="201" customWidth="1"/>
    <col min="10277" max="10283" width="9.625" style="201" customWidth="1"/>
    <col min="10284" max="10284" width="19.25" style="201" customWidth="1"/>
    <col min="10285" max="10285" width="22.125" style="201" customWidth="1"/>
    <col min="10286" max="10286" width="16.75" style="201" customWidth="1"/>
    <col min="10287" max="10287" width="13.625" style="201" customWidth="1"/>
    <col min="10288" max="10288" width="12" style="201" customWidth="1"/>
    <col min="10289" max="10289" width="9.25" style="201" customWidth="1"/>
    <col min="10290" max="10290" width="15.25" style="201" customWidth="1"/>
    <col min="10291" max="10291" width="9.75" style="201" customWidth="1"/>
    <col min="10292" max="10292" width="2.625" style="201" customWidth="1"/>
    <col min="10293" max="10293" width="23.875" style="201" customWidth="1"/>
    <col min="10294" max="10507" width="9.125" style="201"/>
    <col min="10508" max="10508" width="6.25" style="201" customWidth="1"/>
    <col min="10509" max="10509" width="35.625" style="201" customWidth="1"/>
    <col min="10510" max="10512" width="0" style="201" hidden="1" customWidth="1"/>
    <col min="10513" max="10513" width="17.25" style="201" customWidth="1"/>
    <col min="10514" max="10514" width="11.25" style="201" customWidth="1"/>
    <col min="10515" max="10515" width="9.625" style="201" customWidth="1"/>
    <col min="10516" max="10521" width="0" style="201" hidden="1" customWidth="1"/>
    <col min="10522" max="10522" width="11.25" style="201" customWidth="1"/>
    <col min="10523" max="10523" width="11.125" style="201" customWidth="1"/>
    <col min="10524" max="10524" width="8.125" style="201" customWidth="1"/>
    <col min="10525" max="10525" width="9.25" style="201" customWidth="1"/>
    <col min="10526" max="10526" width="9" style="201" customWidth="1"/>
    <col min="10527" max="10527" width="9.25" style="201" customWidth="1"/>
    <col min="10528" max="10529" width="0" style="201" hidden="1" customWidth="1"/>
    <col min="10530" max="10530" width="9.125" style="201" customWidth="1"/>
    <col min="10531" max="10531" width="10.125" style="201" customWidth="1"/>
    <col min="10532" max="10532" width="9.125" style="201" customWidth="1"/>
    <col min="10533" max="10539" width="9.625" style="201" customWidth="1"/>
    <col min="10540" max="10540" width="19.25" style="201" customWidth="1"/>
    <col min="10541" max="10541" width="22.125" style="201" customWidth="1"/>
    <col min="10542" max="10542" width="16.75" style="201" customWidth="1"/>
    <col min="10543" max="10543" width="13.625" style="201" customWidth="1"/>
    <col min="10544" max="10544" width="12" style="201" customWidth="1"/>
    <col min="10545" max="10545" width="9.25" style="201" customWidth="1"/>
    <col min="10546" max="10546" width="15.25" style="201" customWidth="1"/>
    <col min="10547" max="10547" width="9.75" style="201" customWidth="1"/>
    <col min="10548" max="10548" width="2.625" style="201" customWidth="1"/>
    <col min="10549" max="10549" width="23.875" style="201" customWidth="1"/>
    <col min="10550" max="10763" width="9.125" style="201"/>
    <col min="10764" max="10764" width="6.25" style="201" customWidth="1"/>
    <col min="10765" max="10765" width="35.625" style="201" customWidth="1"/>
    <col min="10766" max="10768" width="0" style="201" hidden="1" customWidth="1"/>
    <col min="10769" max="10769" width="17.25" style="201" customWidth="1"/>
    <col min="10770" max="10770" width="11.25" style="201" customWidth="1"/>
    <col min="10771" max="10771" width="9.625" style="201" customWidth="1"/>
    <col min="10772" max="10777" width="0" style="201" hidden="1" customWidth="1"/>
    <col min="10778" max="10778" width="11.25" style="201" customWidth="1"/>
    <col min="10779" max="10779" width="11.125" style="201" customWidth="1"/>
    <col min="10780" max="10780" width="8.125" style="201" customWidth="1"/>
    <col min="10781" max="10781" width="9.25" style="201" customWidth="1"/>
    <col min="10782" max="10782" width="9" style="201" customWidth="1"/>
    <col min="10783" max="10783" width="9.25" style="201" customWidth="1"/>
    <col min="10784" max="10785" width="0" style="201" hidden="1" customWidth="1"/>
    <col min="10786" max="10786" width="9.125" style="201" customWidth="1"/>
    <col min="10787" max="10787" width="10.125" style="201" customWidth="1"/>
    <col min="10788" max="10788" width="9.125" style="201" customWidth="1"/>
    <col min="10789" max="10795" width="9.625" style="201" customWidth="1"/>
    <col min="10796" max="10796" width="19.25" style="201" customWidth="1"/>
    <col min="10797" max="10797" width="22.125" style="201" customWidth="1"/>
    <col min="10798" max="10798" width="16.75" style="201" customWidth="1"/>
    <col min="10799" max="10799" width="13.625" style="201" customWidth="1"/>
    <col min="10800" max="10800" width="12" style="201" customWidth="1"/>
    <col min="10801" max="10801" width="9.25" style="201" customWidth="1"/>
    <col min="10802" max="10802" width="15.25" style="201" customWidth="1"/>
    <col min="10803" max="10803" width="9.75" style="201" customWidth="1"/>
    <col min="10804" max="10804" width="2.625" style="201" customWidth="1"/>
    <col min="10805" max="10805" width="23.875" style="201" customWidth="1"/>
    <col min="10806" max="11019" width="9.125" style="201"/>
    <col min="11020" max="11020" width="6.25" style="201" customWidth="1"/>
    <col min="11021" max="11021" width="35.625" style="201" customWidth="1"/>
    <col min="11022" max="11024" width="0" style="201" hidden="1" customWidth="1"/>
    <col min="11025" max="11025" width="17.25" style="201" customWidth="1"/>
    <col min="11026" max="11026" width="11.25" style="201" customWidth="1"/>
    <col min="11027" max="11027" width="9.625" style="201" customWidth="1"/>
    <col min="11028" max="11033" width="0" style="201" hidden="1" customWidth="1"/>
    <col min="11034" max="11034" width="11.25" style="201" customWidth="1"/>
    <col min="11035" max="11035" width="11.125" style="201" customWidth="1"/>
    <col min="11036" max="11036" width="8.125" style="201" customWidth="1"/>
    <col min="11037" max="11037" width="9.25" style="201" customWidth="1"/>
    <col min="11038" max="11038" width="9" style="201" customWidth="1"/>
    <col min="11039" max="11039" width="9.25" style="201" customWidth="1"/>
    <col min="11040" max="11041" width="0" style="201" hidden="1" customWidth="1"/>
    <col min="11042" max="11042" width="9.125" style="201" customWidth="1"/>
    <col min="11043" max="11043" width="10.125" style="201" customWidth="1"/>
    <col min="11044" max="11044" width="9.125" style="201" customWidth="1"/>
    <col min="11045" max="11051" width="9.625" style="201" customWidth="1"/>
    <col min="11052" max="11052" width="19.25" style="201" customWidth="1"/>
    <col min="11053" max="11053" width="22.125" style="201" customWidth="1"/>
    <col min="11054" max="11054" width="16.75" style="201" customWidth="1"/>
    <col min="11055" max="11055" width="13.625" style="201" customWidth="1"/>
    <col min="11056" max="11056" width="12" style="201" customWidth="1"/>
    <col min="11057" max="11057" width="9.25" style="201" customWidth="1"/>
    <col min="11058" max="11058" width="15.25" style="201" customWidth="1"/>
    <col min="11059" max="11059" width="9.75" style="201" customWidth="1"/>
    <col min="11060" max="11060" width="2.625" style="201" customWidth="1"/>
    <col min="11061" max="11061" width="23.875" style="201" customWidth="1"/>
    <col min="11062" max="11275" width="9.125" style="201"/>
    <col min="11276" max="11276" width="6.25" style="201" customWidth="1"/>
    <col min="11277" max="11277" width="35.625" style="201" customWidth="1"/>
    <col min="11278" max="11280" width="0" style="201" hidden="1" customWidth="1"/>
    <col min="11281" max="11281" width="17.25" style="201" customWidth="1"/>
    <col min="11282" max="11282" width="11.25" style="201" customWidth="1"/>
    <col min="11283" max="11283" width="9.625" style="201" customWidth="1"/>
    <col min="11284" max="11289" width="0" style="201" hidden="1" customWidth="1"/>
    <col min="11290" max="11290" width="11.25" style="201" customWidth="1"/>
    <col min="11291" max="11291" width="11.125" style="201" customWidth="1"/>
    <col min="11292" max="11292" width="8.125" style="201" customWidth="1"/>
    <col min="11293" max="11293" width="9.25" style="201" customWidth="1"/>
    <col min="11294" max="11294" width="9" style="201" customWidth="1"/>
    <col min="11295" max="11295" width="9.25" style="201" customWidth="1"/>
    <col min="11296" max="11297" width="0" style="201" hidden="1" customWidth="1"/>
    <col min="11298" max="11298" width="9.125" style="201" customWidth="1"/>
    <col min="11299" max="11299" width="10.125" style="201" customWidth="1"/>
    <col min="11300" max="11300" width="9.125" style="201" customWidth="1"/>
    <col min="11301" max="11307" width="9.625" style="201" customWidth="1"/>
    <col min="11308" max="11308" width="19.25" style="201" customWidth="1"/>
    <col min="11309" max="11309" width="22.125" style="201" customWidth="1"/>
    <col min="11310" max="11310" width="16.75" style="201" customWidth="1"/>
    <col min="11311" max="11311" width="13.625" style="201" customWidth="1"/>
    <col min="11312" max="11312" width="12" style="201" customWidth="1"/>
    <col min="11313" max="11313" width="9.25" style="201" customWidth="1"/>
    <col min="11314" max="11314" width="15.25" style="201" customWidth="1"/>
    <col min="11315" max="11315" width="9.75" style="201" customWidth="1"/>
    <col min="11316" max="11316" width="2.625" style="201" customWidth="1"/>
    <col min="11317" max="11317" width="23.875" style="201" customWidth="1"/>
    <col min="11318" max="11531" width="9.125" style="201"/>
    <col min="11532" max="11532" width="6.25" style="201" customWidth="1"/>
    <col min="11533" max="11533" width="35.625" style="201" customWidth="1"/>
    <col min="11534" max="11536" width="0" style="201" hidden="1" customWidth="1"/>
    <col min="11537" max="11537" width="17.25" style="201" customWidth="1"/>
    <col min="11538" max="11538" width="11.25" style="201" customWidth="1"/>
    <col min="11539" max="11539" width="9.625" style="201" customWidth="1"/>
    <col min="11540" max="11545" width="0" style="201" hidden="1" customWidth="1"/>
    <col min="11546" max="11546" width="11.25" style="201" customWidth="1"/>
    <col min="11547" max="11547" width="11.125" style="201" customWidth="1"/>
    <col min="11548" max="11548" width="8.125" style="201" customWidth="1"/>
    <col min="11549" max="11549" width="9.25" style="201" customWidth="1"/>
    <col min="11550" max="11550" width="9" style="201" customWidth="1"/>
    <col min="11551" max="11551" width="9.25" style="201" customWidth="1"/>
    <col min="11552" max="11553" width="0" style="201" hidden="1" customWidth="1"/>
    <col min="11554" max="11554" width="9.125" style="201" customWidth="1"/>
    <col min="11555" max="11555" width="10.125" style="201" customWidth="1"/>
    <col min="11556" max="11556" width="9.125" style="201" customWidth="1"/>
    <col min="11557" max="11563" width="9.625" style="201" customWidth="1"/>
    <col min="11564" max="11564" width="19.25" style="201" customWidth="1"/>
    <col min="11565" max="11565" width="22.125" style="201" customWidth="1"/>
    <col min="11566" max="11566" width="16.75" style="201" customWidth="1"/>
    <col min="11567" max="11567" width="13.625" style="201" customWidth="1"/>
    <col min="11568" max="11568" width="12" style="201" customWidth="1"/>
    <col min="11569" max="11569" width="9.25" style="201" customWidth="1"/>
    <col min="11570" max="11570" width="15.25" style="201" customWidth="1"/>
    <col min="11571" max="11571" width="9.75" style="201" customWidth="1"/>
    <col min="11572" max="11572" width="2.625" style="201" customWidth="1"/>
    <col min="11573" max="11573" width="23.875" style="201" customWidth="1"/>
    <col min="11574" max="11787" width="9.125" style="201"/>
    <col min="11788" max="11788" width="6.25" style="201" customWidth="1"/>
    <col min="11789" max="11789" width="35.625" style="201" customWidth="1"/>
    <col min="11790" max="11792" width="0" style="201" hidden="1" customWidth="1"/>
    <col min="11793" max="11793" width="17.25" style="201" customWidth="1"/>
    <col min="11794" max="11794" width="11.25" style="201" customWidth="1"/>
    <col min="11795" max="11795" width="9.625" style="201" customWidth="1"/>
    <col min="11796" max="11801" width="0" style="201" hidden="1" customWidth="1"/>
    <col min="11802" max="11802" width="11.25" style="201" customWidth="1"/>
    <col min="11803" max="11803" width="11.125" style="201" customWidth="1"/>
    <col min="11804" max="11804" width="8.125" style="201" customWidth="1"/>
    <col min="11805" max="11805" width="9.25" style="201" customWidth="1"/>
    <col min="11806" max="11806" width="9" style="201" customWidth="1"/>
    <col min="11807" max="11807" width="9.25" style="201" customWidth="1"/>
    <col min="11808" max="11809" width="0" style="201" hidden="1" customWidth="1"/>
    <col min="11810" max="11810" width="9.125" style="201" customWidth="1"/>
    <col min="11811" max="11811" width="10.125" style="201" customWidth="1"/>
    <col min="11812" max="11812" width="9.125" style="201" customWidth="1"/>
    <col min="11813" max="11819" width="9.625" style="201" customWidth="1"/>
    <col min="11820" max="11820" width="19.25" style="201" customWidth="1"/>
    <col min="11821" max="11821" width="22.125" style="201" customWidth="1"/>
    <col min="11822" max="11822" width="16.75" style="201" customWidth="1"/>
    <col min="11823" max="11823" width="13.625" style="201" customWidth="1"/>
    <col min="11824" max="11824" width="12" style="201" customWidth="1"/>
    <col min="11825" max="11825" width="9.25" style="201" customWidth="1"/>
    <col min="11826" max="11826" width="15.25" style="201" customWidth="1"/>
    <col min="11827" max="11827" width="9.75" style="201" customWidth="1"/>
    <col min="11828" max="11828" width="2.625" style="201" customWidth="1"/>
    <col min="11829" max="11829" width="23.875" style="201" customWidth="1"/>
    <col min="11830" max="12043" width="9.125" style="201"/>
    <col min="12044" max="12044" width="6.25" style="201" customWidth="1"/>
    <col min="12045" max="12045" width="35.625" style="201" customWidth="1"/>
    <col min="12046" max="12048" width="0" style="201" hidden="1" customWidth="1"/>
    <col min="12049" max="12049" width="17.25" style="201" customWidth="1"/>
    <col min="12050" max="12050" width="11.25" style="201" customWidth="1"/>
    <col min="12051" max="12051" width="9.625" style="201" customWidth="1"/>
    <col min="12052" max="12057" width="0" style="201" hidden="1" customWidth="1"/>
    <col min="12058" max="12058" width="11.25" style="201" customWidth="1"/>
    <col min="12059" max="12059" width="11.125" style="201" customWidth="1"/>
    <col min="12060" max="12060" width="8.125" style="201" customWidth="1"/>
    <col min="12061" max="12061" width="9.25" style="201" customWidth="1"/>
    <col min="12062" max="12062" width="9" style="201" customWidth="1"/>
    <col min="12063" max="12063" width="9.25" style="201" customWidth="1"/>
    <col min="12064" max="12065" width="0" style="201" hidden="1" customWidth="1"/>
    <col min="12066" max="12066" width="9.125" style="201" customWidth="1"/>
    <col min="12067" max="12067" width="10.125" style="201" customWidth="1"/>
    <col min="12068" max="12068" width="9.125" style="201" customWidth="1"/>
    <col min="12069" max="12075" width="9.625" style="201" customWidth="1"/>
    <col min="12076" max="12076" width="19.25" style="201" customWidth="1"/>
    <col min="12077" max="12077" width="22.125" style="201" customWidth="1"/>
    <col min="12078" max="12078" width="16.75" style="201" customWidth="1"/>
    <col min="12079" max="12079" width="13.625" style="201" customWidth="1"/>
    <col min="12080" max="12080" width="12" style="201" customWidth="1"/>
    <col min="12081" max="12081" width="9.25" style="201" customWidth="1"/>
    <col min="12082" max="12082" width="15.25" style="201" customWidth="1"/>
    <col min="12083" max="12083" width="9.75" style="201" customWidth="1"/>
    <col min="12084" max="12084" width="2.625" style="201" customWidth="1"/>
    <col min="12085" max="12085" width="23.875" style="201" customWidth="1"/>
    <col min="12086" max="12299" width="9.125" style="201"/>
    <col min="12300" max="12300" width="6.25" style="201" customWidth="1"/>
    <col min="12301" max="12301" width="35.625" style="201" customWidth="1"/>
    <col min="12302" max="12304" width="0" style="201" hidden="1" customWidth="1"/>
    <col min="12305" max="12305" width="17.25" style="201" customWidth="1"/>
    <col min="12306" max="12306" width="11.25" style="201" customWidth="1"/>
    <col min="12307" max="12307" width="9.625" style="201" customWidth="1"/>
    <col min="12308" max="12313" width="0" style="201" hidden="1" customWidth="1"/>
    <col min="12314" max="12314" width="11.25" style="201" customWidth="1"/>
    <col min="12315" max="12315" width="11.125" style="201" customWidth="1"/>
    <col min="12316" max="12316" width="8.125" style="201" customWidth="1"/>
    <col min="12317" max="12317" width="9.25" style="201" customWidth="1"/>
    <col min="12318" max="12318" width="9" style="201" customWidth="1"/>
    <col min="12319" max="12319" width="9.25" style="201" customWidth="1"/>
    <col min="12320" max="12321" width="0" style="201" hidden="1" customWidth="1"/>
    <col min="12322" max="12322" width="9.125" style="201" customWidth="1"/>
    <col min="12323" max="12323" width="10.125" style="201" customWidth="1"/>
    <col min="12324" max="12324" width="9.125" style="201" customWidth="1"/>
    <col min="12325" max="12331" width="9.625" style="201" customWidth="1"/>
    <col min="12332" max="12332" width="19.25" style="201" customWidth="1"/>
    <col min="12333" max="12333" width="22.125" style="201" customWidth="1"/>
    <col min="12334" max="12334" width="16.75" style="201" customWidth="1"/>
    <col min="12335" max="12335" width="13.625" style="201" customWidth="1"/>
    <col min="12336" max="12336" width="12" style="201" customWidth="1"/>
    <col min="12337" max="12337" width="9.25" style="201" customWidth="1"/>
    <col min="12338" max="12338" width="15.25" style="201" customWidth="1"/>
    <col min="12339" max="12339" width="9.75" style="201" customWidth="1"/>
    <col min="12340" max="12340" width="2.625" style="201" customWidth="1"/>
    <col min="12341" max="12341" width="23.875" style="201" customWidth="1"/>
    <col min="12342" max="12555" width="9.125" style="201"/>
    <col min="12556" max="12556" width="6.25" style="201" customWidth="1"/>
    <col min="12557" max="12557" width="35.625" style="201" customWidth="1"/>
    <col min="12558" max="12560" width="0" style="201" hidden="1" customWidth="1"/>
    <col min="12561" max="12561" width="17.25" style="201" customWidth="1"/>
    <col min="12562" max="12562" width="11.25" style="201" customWidth="1"/>
    <col min="12563" max="12563" width="9.625" style="201" customWidth="1"/>
    <col min="12564" max="12569" width="0" style="201" hidden="1" customWidth="1"/>
    <col min="12570" max="12570" width="11.25" style="201" customWidth="1"/>
    <col min="12571" max="12571" width="11.125" style="201" customWidth="1"/>
    <col min="12572" max="12572" width="8.125" style="201" customWidth="1"/>
    <col min="12573" max="12573" width="9.25" style="201" customWidth="1"/>
    <col min="12574" max="12574" width="9" style="201" customWidth="1"/>
    <col min="12575" max="12575" width="9.25" style="201" customWidth="1"/>
    <col min="12576" max="12577" width="0" style="201" hidden="1" customWidth="1"/>
    <col min="12578" max="12578" width="9.125" style="201" customWidth="1"/>
    <col min="12579" max="12579" width="10.125" style="201" customWidth="1"/>
    <col min="12580" max="12580" width="9.125" style="201" customWidth="1"/>
    <col min="12581" max="12587" width="9.625" style="201" customWidth="1"/>
    <col min="12588" max="12588" width="19.25" style="201" customWidth="1"/>
    <col min="12589" max="12589" width="22.125" style="201" customWidth="1"/>
    <col min="12590" max="12590" width="16.75" style="201" customWidth="1"/>
    <col min="12591" max="12591" width="13.625" style="201" customWidth="1"/>
    <col min="12592" max="12592" width="12" style="201" customWidth="1"/>
    <col min="12593" max="12593" width="9.25" style="201" customWidth="1"/>
    <col min="12594" max="12594" width="15.25" style="201" customWidth="1"/>
    <col min="12595" max="12595" width="9.75" style="201" customWidth="1"/>
    <col min="12596" max="12596" width="2.625" style="201" customWidth="1"/>
    <col min="12597" max="12597" width="23.875" style="201" customWidth="1"/>
    <col min="12598" max="12811" width="9.125" style="201"/>
    <col min="12812" max="12812" width="6.25" style="201" customWidth="1"/>
    <col min="12813" max="12813" width="35.625" style="201" customWidth="1"/>
    <col min="12814" max="12816" width="0" style="201" hidden="1" customWidth="1"/>
    <col min="12817" max="12817" width="17.25" style="201" customWidth="1"/>
    <col min="12818" max="12818" width="11.25" style="201" customWidth="1"/>
    <col min="12819" max="12819" width="9.625" style="201" customWidth="1"/>
    <col min="12820" max="12825" width="0" style="201" hidden="1" customWidth="1"/>
    <col min="12826" max="12826" width="11.25" style="201" customWidth="1"/>
    <col min="12827" max="12827" width="11.125" style="201" customWidth="1"/>
    <col min="12828" max="12828" width="8.125" style="201" customWidth="1"/>
    <col min="12829" max="12829" width="9.25" style="201" customWidth="1"/>
    <col min="12830" max="12830" width="9" style="201" customWidth="1"/>
    <col min="12831" max="12831" width="9.25" style="201" customWidth="1"/>
    <col min="12832" max="12833" width="0" style="201" hidden="1" customWidth="1"/>
    <col min="12834" max="12834" width="9.125" style="201" customWidth="1"/>
    <col min="12835" max="12835" width="10.125" style="201" customWidth="1"/>
    <col min="12836" max="12836" width="9.125" style="201" customWidth="1"/>
    <col min="12837" max="12843" width="9.625" style="201" customWidth="1"/>
    <col min="12844" max="12844" width="19.25" style="201" customWidth="1"/>
    <col min="12845" max="12845" width="22.125" style="201" customWidth="1"/>
    <col min="12846" max="12846" width="16.75" style="201" customWidth="1"/>
    <col min="12847" max="12847" width="13.625" style="201" customWidth="1"/>
    <col min="12848" max="12848" width="12" style="201" customWidth="1"/>
    <col min="12849" max="12849" width="9.25" style="201" customWidth="1"/>
    <col min="12850" max="12850" width="15.25" style="201" customWidth="1"/>
    <col min="12851" max="12851" width="9.75" style="201" customWidth="1"/>
    <col min="12852" max="12852" width="2.625" style="201" customWidth="1"/>
    <col min="12853" max="12853" width="23.875" style="201" customWidth="1"/>
    <col min="12854" max="13067" width="9.125" style="201"/>
    <col min="13068" max="13068" width="6.25" style="201" customWidth="1"/>
    <col min="13069" max="13069" width="35.625" style="201" customWidth="1"/>
    <col min="13070" max="13072" width="0" style="201" hidden="1" customWidth="1"/>
    <col min="13073" max="13073" width="17.25" style="201" customWidth="1"/>
    <col min="13074" max="13074" width="11.25" style="201" customWidth="1"/>
    <col min="13075" max="13075" width="9.625" style="201" customWidth="1"/>
    <col min="13076" max="13081" width="0" style="201" hidden="1" customWidth="1"/>
    <col min="13082" max="13082" width="11.25" style="201" customWidth="1"/>
    <col min="13083" max="13083" width="11.125" style="201" customWidth="1"/>
    <col min="13084" max="13084" width="8.125" style="201" customWidth="1"/>
    <col min="13085" max="13085" width="9.25" style="201" customWidth="1"/>
    <col min="13086" max="13086" width="9" style="201" customWidth="1"/>
    <col min="13087" max="13087" width="9.25" style="201" customWidth="1"/>
    <col min="13088" max="13089" width="0" style="201" hidden="1" customWidth="1"/>
    <col min="13090" max="13090" width="9.125" style="201" customWidth="1"/>
    <col min="13091" max="13091" width="10.125" style="201" customWidth="1"/>
    <col min="13092" max="13092" width="9.125" style="201" customWidth="1"/>
    <col min="13093" max="13099" width="9.625" style="201" customWidth="1"/>
    <col min="13100" max="13100" width="19.25" style="201" customWidth="1"/>
    <col min="13101" max="13101" width="22.125" style="201" customWidth="1"/>
    <col min="13102" max="13102" width="16.75" style="201" customWidth="1"/>
    <col min="13103" max="13103" width="13.625" style="201" customWidth="1"/>
    <col min="13104" max="13104" width="12" style="201" customWidth="1"/>
    <col min="13105" max="13105" width="9.25" style="201" customWidth="1"/>
    <col min="13106" max="13106" width="15.25" style="201" customWidth="1"/>
    <col min="13107" max="13107" width="9.75" style="201" customWidth="1"/>
    <col min="13108" max="13108" width="2.625" style="201" customWidth="1"/>
    <col min="13109" max="13109" width="23.875" style="201" customWidth="1"/>
    <col min="13110" max="13323" width="9.125" style="201"/>
    <col min="13324" max="13324" width="6.25" style="201" customWidth="1"/>
    <col min="13325" max="13325" width="35.625" style="201" customWidth="1"/>
    <col min="13326" max="13328" width="0" style="201" hidden="1" customWidth="1"/>
    <col min="13329" max="13329" width="17.25" style="201" customWidth="1"/>
    <col min="13330" max="13330" width="11.25" style="201" customWidth="1"/>
    <col min="13331" max="13331" width="9.625" style="201" customWidth="1"/>
    <col min="13332" max="13337" width="0" style="201" hidden="1" customWidth="1"/>
    <col min="13338" max="13338" width="11.25" style="201" customWidth="1"/>
    <col min="13339" max="13339" width="11.125" style="201" customWidth="1"/>
    <col min="13340" max="13340" width="8.125" style="201" customWidth="1"/>
    <col min="13341" max="13341" width="9.25" style="201" customWidth="1"/>
    <col min="13342" max="13342" width="9" style="201" customWidth="1"/>
    <col min="13343" max="13343" width="9.25" style="201" customWidth="1"/>
    <col min="13344" max="13345" width="0" style="201" hidden="1" customWidth="1"/>
    <col min="13346" max="13346" width="9.125" style="201" customWidth="1"/>
    <col min="13347" max="13347" width="10.125" style="201" customWidth="1"/>
    <col min="13348" max="13348" width="9.125" style="201" customWidth="1"/>
    <col min="13349" max="13355" width="9.625" style="201" customWidth="1"/>
    <col min="13356" max="13356" width="19.25" style="201" customWidth="1"/>
    <col min="13357" max="13357" width="22.125" style="201" customWidth="1"/>
    <col min="13358" max="13358" width="16.75" style="201" customWidth="1"/>
    <col min="13359" max="13359" width="13.625" style="201" customWidth="1"/>
    <col min="13360" max="13360" width="12" style="201" customWidth="1"/>
    <col min="13361" max="13361" width="9.25" style="201" customWidth="1"/>
    <col min="13362" max="13362" width="15.25" style="201" customWidth="1"/>
    <col min="13363" max="13363" width="9.75" style="201" customWidth="1"/>
    <col min="13364" max="13364" width="2.625" style="201" customWidth="1"/>
    <col min="13365" max="13365" width="23.875" style="201" customWidth="1"/>
    <col min="13366" max="13579" width="9.125" style="201"/>
    <col min="13580" max="13580" width="6.25" style="201" customWidth="1"/>
    <col min="13581" max="13581" width="35.625" style="201" customWidth="1"/>
    <col min="13582" max="13584" width="0" style="201" hidden="1" customWidth="1"/>
    <col min="13585" max="13585" width="17.25" style="201" customWidth="1"/>
    <col min="13586" max="13586" width="11.25" style="201" customWidth="1"/>
    <col min="13587" max="13587" width="9.625" style="201" customWidth="1"/>
    <col min="13588" max="13593" width="0" style="201" hidden="1" customWidth="1"/>
    <col min="13594" max="13594" width="11.25" style="201" customWidth="1"/>
    <col min="13595" max="13595" width="11.125" style="201" customWidth="1"/>
    <col min="13596" max="13596" width="8.125" style="201" customWidth="1"/>
    <col min="13597" max="13597" width="9.25" style="201" customWidth="1"/>
    <col min="13598" max="13598" width="9" style="201" customWidth="1"/>
    <col min="13599" max="13599" width="9.25" style="201" customWidth="1"/>
    <col min="13600" max="13601" width="0" style="201" hidden="1" customWidth="1"/>
    <col min="13602" max="13602" width="9.125" style="201" customWidth="1"/>
    <col min="13603" max="13603" width="10.125" style="201" customWidth="1"/>
    <col min="13604" max="13604" width="9.125" style="201" customWidth="1"/>
    <col min="13605" max="13611" width="9.625" style="201" customWidth="1"/>
    <col min="13612" max="13612" width="19.25" style="201" customWidth="1"/>
    <col min="13613" max="13613" width="22.125" style="201" customWidth="1"/>
    <col min="13614" max="13614" width="16.75" style="201" customWidth="1"/>
    <col min="13615" max="13615" width="13.625" style="201" customWidth="1"/>
    <col min="13616" max="13616" width="12" style="201" customWidth="1"/>
    <col min="13617" max="13617" width="9.25" style="201" customWidth="1"/>
    <col min="13618" max="13618" width="15.25" style="201" customWidth="1"/>
    <col min="13619" max="13619" width="9.75" style="201" customWidth="1"/>
    <col min="13620" max="13620" width="2.625" style="201" customWidth="1"/>
    <col min="13621" max="13621" width="23.875" style="201" customWidth="1"/>
    <col min="13622" max="13835" width="9.125" style="201"/>
    <col min="13836" max="13836" width="6.25" style="201" customWidth="1"/>
    <col min="13837" max="13837" width="35.625" style="201" customWidth="1"/>
    <col min="13838" max="13840" width="0" style="201" hidden="1" customWidth="1"/>
    <col min="13841" max="13841" width="17.25" style="201" customWidth="1"/>
    <col min="13842" max="13842" width="11.25" style="201" customWidth="1"/>
    <col min="13843" max="13843" width="9.625" style="201" customWidth="1"/>
    <col min="13844" max="13849" width="0" style="201" hidden="1" customWidth="1"/>
    <col min="13850" max="13850" width="11.25" style="201" customWidth="1"/>
    <col min="13851" max="13851" width="11.125" style="201" customWidth="1"/>
    <col min="13852" max="13852" width="8.125" style="201" customWidth="1"/>
    <col min="13853" max="13853" width="9.25" style="201" customWidth="1"/>
    <col min="13854" max="13854" width="9" style="201" customWidth="1"/>
    <col min="13855" max="13855" width="9.25" style="201" customWidth="1"/>
    <col min="13856" max="13857" width="0" style="201" hidden="1" customWidth="1"/>
    <col min="13858" max="13858" width="9.125" style="201" customWidth="1"/>
    <col min="13859" max="13859" width="10.125" style="201" customWidth="1"/>
    <col min="13860" max="13860" width="9.125" style="201" customWidth="1"/>
    <col min="13861" max="13867" width="9.625" style="201" customWidth="1"/>
    <col min="13868" max="13868" width="19.25" style="201" customWidth="1"/>
    <col min="13869" max="13869" width="22.125" style="201" customWidth="1"/>
    <col min="13870" max="13870" width="16.75" style="201" customWidth="1"/>
    <col min="13871" max="13871" width="13.625" style="201" customWidth="1"/>
    <col min="13872" max="13872" width="12" style="201" customWidth="1"/>
    <col min="13873" max="13873" width="9.25" style="201" customWidth="1"/>
    <col min="13874" max="13874" width="15.25" style="201" customWidth="1"/>
    <col min="13875" max="13875" width="9.75" style="201" customWidth="1"/>
    <col min="13876" max="13876" width="2.625" style="201" customWidth="1"/>
    <col min="13877" max="13877" width="23.875" style="201" customWidth="1"/>
    <col min="13878" max="14091" width="9.125" style="201"/>
    <col min="14092" max="14092" width="6.25" style="201" customWidth="1"/>
    <col min="14093" max="14093" width="35.625" style="201" customWidth="1"/>
    <col min="14094" max="14096" width="0" style="201" hidden="1" customWidth="1"/>
    <col min="14097" max="14097" width="17.25" style="201" customWidth="1"/>
    <col min="14098" max="14098" width="11.25" style="201" customWidth="1"/>
    <col min="14099" max="14099" width="9.625" style="201" customWidth="1"/>
    <col min="14100" max="14105" width="0" style="201" hidden="1" customWidth="1"/>
    <col min="14106" max="14106" width="11.25" style="201" customWidth="1"/>
    <col min="14107" max="14107" width="11.125" style="201" customWidth="1"/>
    <col min="14108" max="14108" width="8.125" style="201" customWidth="1"/>
    <col min="14109" max="14109" width="9.25" style="201" customWidth="1"/>
    <col min="14110" max="14110" width="9" style="201" customWidth="1"/>
    <col min="14111" max="14111" width="9.25" style="201" customWidth="1"/>
    <col min="14112" max="14113" width="0" style="201" hidden="1" customWidth="1"/>
    <col min="14114" max="14114" width="9.125" style="201" customWidth="1"/>
    <col min="14115" max="14115" width="10.125" style="201" customWidth="1"/>
    <col min="14116" max="14116" width="9.125" style="201" customWidth="1"/>
    <col min="14117" max="14123" width="9.625" style="201" customWidth="1"/>
    <col min="14124" max="14124" width="19.25" style="201" customWidth="1"/>
    <col min="14125" max="14125" width="22.125" style="201" customWidth="1"/>
    <col min="14126" max="14126" width="16.75" style="201" customWidth="1"/>
    <col min="14127" max="14127" width="13.625" style="201" customWidth="1"/>
    <col min="14128" max="14128" width="12" style="201" customWidth="1"/>
    <col min="14129" max="14129" width="9.25" style="201" customWidth="1"/>
    <col min="14130" max="14130" width="15.25" style="201" customWidth="1"/>
    <col min="14131" max="14131" width="9.75" style="201" customWidth="1"/>
    <col min="14132" max="14132" width="2.625" style="201" customWidth="1"/>
    <col min="14133" max="14133" width="23.875" style="201" customWidth="1"/>
    <col min="14134" max="14347" width="9.125" style="201"/>
    <col min="14348" max="14348" width="6.25" style="201" customWidth="1"/>
    <col min="14349" max="14349" width="35.625" style="201" customWidth="1"/>
    <col min="14350" max="14352" width="0" style="201" hidden="1" customWidth="1"/>
    <col min="14353" max="14353" width="17.25" style="201" customWidth="1"/>
    <col min="14354" max="14354" width="11.25" style="201" customWidth="1"/>
    <col min="14355" max="14355" width="9.625" style="201" customWidth="1"/>
    <col min="14356" max="14361" width="0" style="201" hidden="1" customWidth="1"/>
    <col min="14362" max="14362" width="11.25" style="201" customWidth="1"/>
    <col min="14363" max="14363" width="11.125" style="201" customWidth="1"/>
    <col min="14364" max="14364" width="8.125" style="201" customWidth="1"/>
    <col min="14365" max="14365" width="9.25" style="201" customWidth="1"/>
    <col min="14366" max="14366" width="9" style="201" customWidth="1"/>
    <col min="14367" max="14367" width="9.25" style="201" customWidth="1"/>
    <col min="14368" max="14369" width="0" style="201" hidden="1" customWidth="1"/>
    <col min="14370" max="14370" width="9.125" style="201" customWidth="1"/>
    <col min="14371" max="14371" width="10.125" style="201" customWidth="1"/>
    <col min="14372" max="14372" width="9.125" style="201" customWidth="1"/>
    <col min="14373" max="14379" width="9.625" style="201" customWidth="1"/>
    <col min="14380" max="14380" width="19.25" style="201" customWidth="1"/>
    <col min="14381" max="14381" width="22.125" style="201" customWidth="1"/>
    <col min="14382" max="14382" width="16.75" style="201" customWidth="1"/>
    <col min="14383" max="14383" width="13.625" style="201" customWidth="1"/>
    <col min="14384" max="14384" width="12" style="201" customWidth="1"/>
    <col min="14385" max="14385" width="9.25" style="201" customWidth="1"/>
    <col min="14386" max="14386" width="15.25" style="201" customWidth="1"/>
    <col min="14387" max="14387" width="9.75" style="201" customWidth="1"/>
    <col min="14388" max="14388" width="2.625" style="201" customWidth="1"/>
    <col min="14389" max="14389" width="23.875" style="201" customWidth="1"/>
    <col min="14390" max="14603" width="9.125" style="201"/>
    <col min="14604" max="14604" width="6.25" style="201" customWidth="1"/>
    <col min="14605" max="14605" width="35.625" style="201" customWidth="1"/>
    <col min="14606" max="14608" width="0" style="201" hidden="1" customWidth="1"/>
    <col min="14609" max="14609" width="17.25" style="201" customWidth="1"/>
    <col min="14610" max="14610" width="11.25" style="201" customWidth="1"/>
    <col min="14611" max="14611" width="9.625" style="201" customWidth="1"/>
    <col min="14612" max="14617" width="0" style="201" hidden="1" customWidth="1"/>
    <col min="14618" max="14618" width="11.25" style="201" customWidth="1"/>
    <col min="14619" max="14619" width="11.125" style="201" customWidth="1"/>
    <col min="14620" max="14620" width="8.125" style="201" customWidth="1"/>
    <col min="14621" max="14621" width="9.25" style="201" customWidth="1"/>
    <col min="14622" max="14622" width="9" style="201" customWidth="1"/>
    <col min="14623" max="14623" width="9.25" style="201" customWidth="1"/>
    <col min="14624" max="14625" width="0" style="201" hidden="1" customWidth="1"/>
    <col min="14626" max="14626" width="9.125" style="201" customWidth="1"/>
    <col min="14627" max="14627" width="10.125" style="201" customWidth="1"/>
    <col min="14628" max="14628" width="9.125" style="201" customWidth="1"/>
    <col min="14629" max="14635" width="9.625" style="201" customWidth="1"/>
    <col min="14636" max="14636" width="19.25" style="201" customWidth="1"/>
    <col min="14637" max="14637" width="22.125" style="201" customWidth="1"/>
    <col min="14638" max="14638" width="16.75" style="201" customWidth="1"/>
    <col min="14639" max="14639" width="13.625" style="201" customWidth="1"/>
    <col min="14640" max="14640" width="12" style="201" customWidth="1"/>
    <col min="14641" max="14641" width="9.25" style="201" customWidth="1"/>
    <col min="14642" max="14642" width="15.25" style="201" customWidth="1"/>
    <col min="14643" max="14643" width="9.75" style="201" customWidth="1"/>
    <col min="14644" max="14644" width="2.625" style="201" customWidth="1"/>
    <col min="14645" max="14645" width="23.875" style="201" customWidth="1"/>
    <col min="14646" max="14859" width="9.125" style="201"/>
    <col min="14860" max="14860" width="6.25" style="201" customWidth="1"/>
    <col min="14861" max="14861" width="35.625" style="201" customWidth="1"/>
    <col min="14862" max="14864" width="0" style="201" hidden="1" customWidth="1"/>
    <col min="14865" max="14865" width="17.25" style="201" customWidth="1"/>
    <col min="14866" max="14866" width="11.25" style="201" customWidth="1"/>
    <col min="14867" max="14867" width="9.625" style="201" customWidth="1"/>
    <col min="14868" max="14873" width="0" style="201" hidden="1" customWidth="1"/>
    <col min="14874" max="14874" width="11.25" style="201" customWidth="1"/>
    <col min="14875" max="14875" width="11.125" style="201" customWidth="1"/>
    <col min="14876" max="14876" width="8.125" style="201" customWidth="1"/>
    <col min="14877" max="14877" width="9.25" style="201" customWidth="1"/>
    <col min="14878" max="14878" width="9" style="201" customWidth="1"/>
    <col min="14879" max="14879" width="9.25" style="201" customWidth="1"/>
    <col min="14880" max="14881" width="0" style="201" hidden="1" customWidth="1"/>
    <col min="14882" max="14882" width="9.125" style="201" customWidth="1"/>
    <col min="14883" max="14883" width="10.125" style="201" customWidth="1"/>
    <col min="14884" max="14884" width="9.125" style="201" customWidth="1"/>
    <col min="14885" max="14891" width="9.625" style="201" customWidth="1"/>
    <col min="14892" max="14892" width="19.25" style="201" customWidth="1"/>
    <col min="14893" max="14893" width="22.125" style="201" customWidth="1"/>
    <col min="14894" max="14894" width="16.75" style="201" customWidth="1"/>
    <col min="14895" max="14895" width="13.625" style="201" customWidth="1"/>
    <col min="14896" max="14896" width="12" style="201" customWidth="1"/>
    <col min="14897" max="14897" width="9.25" style="201" customWidth="1"/>
    <col min="14898" max="14898" width="15.25" style="201" customWidth="1"/>
    <col min="14899" max="14899" width="9.75" style="201" customWidth="1"/>
    <col min="14900" max="14900" width="2.625" style="201" customWidth="1"/>
    <col min="14901" max="14901" width="23.875" style="201" customWidth="1"/>
    <col min="14902" max="15115" width="9.125" style="201"/>
    <col min="15116" max="15116" width="6.25" style="201" customWidth="1"/>
    <col min="15117" max="15117" width="35.625" style="201" customWidth="1"/>
    <col min="15118" max="15120" width="0" style="201" hidden="1" customWidth="1"/>
    <col min="15121" max="15121" width="17.25" style="201" customWidth="1"/>
    <col min="15122" max="15122" width="11.25" style="201" customWidth="1"/>
    <col min="15123" max="15123" width="9.625" style="201" customWidth="1"/>
    <col min="15124" max="15129" width="0" style="201" hidden="1" customWidth="1"/>
    <col min="15130" max="15130" width="11.25" style="201" customWidth="1"/>
    <col min="15131" max="15131" width="11.125" style="201" customWidth="1"/>
    <col min="15132" max="15132" width="8.125" style="201" customWidth="1"/>
    <col min="15133" max="15133" width="9.25" style="201" customWidth="1"/>
    <col min="15134" max="15134" width="9" style="201" customWidth="1"/>
    <col min="15135" max="15135" width="9.25" style="201" customWidth="1"/>
    <col min="15136" max="15137" width="0" style="201" hidden="1" customWidth="1"/>
    <col min="15138" max="15138" width="9.125" style="201" customWidth="1"/>
    <col min="15139" max="15139" width="10.125" style="201" customWidth="1"/>
    <col min="15140" max="15140" width="9.125" style="201" customWidth="1"/>
    <col min="15141" max="15147" width="9.625" style="201" customWidth="1"/>
    <col min="15148" max="15148" width="19.25" style="201" customWidth="1"/>
    <col min="15149" max="15149" width="22.125" style="201" customWidth="1"/>
    <col min="15150" max="15150" width="16.75" style="201" customWidth="1"/>
    <col min="15151" max="15151" width="13.625" style="201" customWidth="1"/>
    <col min="15152" max="15152" width="12" style="201" customWidth="1"/>
    <col min="15153" max="15153" width="9.25" style="201" customWidth="1"/>
    <col min="15154" max="15154" width="15.25" style="201" customWidth="1"/>
    <col min="15155" max="15155" width="9.75" style="201" customWidth="1"/>
    <col min="15156" max="15156" width="2.625" style="201" customWidth="1"/>
    <col min="15157" max="15157" width="23.875" style="201" customWidth="1"/>
    <col min="15158" max="15371" width="9.125" style="201"/>
    <col min="15372" max="15372" width="6.25" style="201" customWidth="1"/>
    <col min="15373" max="15373" width="35.625" style="201" customWidth="1"/>
    <col min="15374" max="15376" width="0" style="201" hidden="1" customWidth="1"/>
    <col min="15377" max="15377" width="17.25" style="201" customWidth="1"/>
    <col min="15378" max="15378" width="11.25" style="201" customWidth="1"/>
    <col min="15379" max="15379" width="9.625" style="201" customWidth="1"/>
    <col min="15380" max="15385" width="0" style="201" hidden="1" customWidth="1"/>
    <col min="15386" max="15386" width="11.25" style="201" customWidth="1"/>
    <col min="15387" max="15387" width="11.125" style="201" customWidth="1"/>
    <col min="15388" max="15388" width="8.125" style="201" customWidth="1"/>
    <col min="15389" max="15389" width="9.25" style="201" customWidth="1"/>
    <col min="15390" max="15390" width="9" style="201" customWidth="1"/>
    <col min="15391" max="15391" width="9.25" style="201" customWidth="1"/>
    <col min="15392" max="15393" width="0" style="201" hidden="1" customWidth="1"/>
    <col min="15394" max="15394" width="9.125" style="201" customWidth="1"/>
    <col min="15395" max="15395" width="10.125" style="201" customWidth="1"/>
    <col min="15396" max="15396" width="9.125" style="201" customWidth="1"/>
    <col min="15397" max="15403" width="9.625" style="201" customWidth="1"/>
    <col min="15404" max="15404" width="19.25" style="201" customWidth="1"/>
    <col min="15405" max="15405" width="22.125" style="201" customWidth="1"/>
    <col min="15406" max="15406" width="16.75" style="201" customWidth="1"/>
    <col min="15407" max="15407" width="13.625" style="201" customWidth="1"/>
    <col min="15408" max="15408" width="12" style="201" customWidth="1"/>
    <col min="15409" max="15409" width="9.25" style="201" customWidth="1"/>
    <col min="15410" max="15410" width="15.25" style="201" customWidth="1"/>
    <col min="15411" max="15411" width="9.75" style="201" customWidth="1"/>
    <col min="15412" max="15412" width="2.625" style="201" customWidth="1"/>
    <col min="15413" max="15413" width="23.875" style="201" customWidth="1"/>
    <col min="15414" max="15627" width="9.125" style="201"/>
    <col min="15628" max="15628" width="6.25" style="201" customWidth="1"/>
    <col min="15629" max="15629" width="35.625" style="201" customWidth="1"/>
    <col min="15630" max="15632" width="0" style="201" hidden="1" customWidth="1"/>
    <col min="15633" max="15633" width="17.25" style="201" customWidth="1"/>
    <col min="15634" max="15634" width="11.25" style="201" customWidth="1"/>
    <col min="15635" max="15635" width="9.625" style="201" customWidth="1"/>
    <col min="15636" max="15641" width="0" style="201" hidden="1" customWidth="1"/>
    <col min="15642" max="15642" width="11.25" style="201" customWidth="1"/>
    <col min="15643" max="15643" width="11.125" style="201" customWidth="1"/>
    <col min="15644" max="15644" width="8.125" style="201" customWidth="1"/>
    <col min="15645" max="15645" width="9.25" style="201" customWidth="1"/>
    <col min="15646" max="15646" width="9" style="201" customWidth="1"/>
    <col min="15647" max="15647" width="9.25" style="201" customWidth="1"/>
    <col min="15648" max="15649" width="0" style="201" hidden="1" customWidth="1"/>
    <col min="15650" max="15650" width="9.125" style="201" customWidth="1"/>
    <col min="15651" max="15651" width="10.125" style="201" customWidth="1"/>
    <col min="15652" max="15652" width="9.125" style="201" customWidth="1"/>
    <col min="15653" max="15659" width="9.625" style="201" customWidth="1"/>
    <col min="15660" max="15660" width="19.25" style="201" customWidth="1"/>
    <col min="15661" max="15661" width="22.125" style="201" customWidth="1"/>
    <col min="15662" max="15662" width="16.75" style="201" customWidth="1"/>
    <col min="15663" max="15663" width="13.625" style="201" customWidth="1"/>
    <col min="15664" max="15664" width="12" style="201" customWidth="1"/>
    <col min="15665" max="15665" width="9.25" style="201" customWidth="1"/>
    <col min="15666" max="15666" width="15.25" style="201" customWidth="1"/>
    <col min="15667" max="15667" width="9.75" style="201" customWidth="1"/>
    <col min="15668" max="15668" width="2.625" style="201" customWidth="1"/>
    <col min="15669" max="15669" width="23.875" style="201" customWidth="1"/>
    <col min="15670" max="15883" width="9.125" style="201"/>
    <col min="15884" max="15884" width="6.25" style="201" customWidth="1"/>
    <col min="15885" max="15885" width="35.625" style="201" customWidth="1"/>
    <col min="15886" max="15888" width="0" style="201" hidden="1" customWidth="1"/>
    <col min="15889" max="15889" width="17.25" style="201" customWidth="1"/>
    <col min="15890" max="15890" width="11.25" style="201" customWidth="1"/>
    <col min="15891" max="15891" width="9.625" style="201" customWidth="1"/>
    <col min="15892" max="15897" width="0" style="201" hidden="1" customWidth="1"/>
    <col min="15898" max="15898" width="11.25" style="201" customWidth="1"/>
    <col min="15899" max="15899" width="11.125" style="201" customWidth="1"/>
    <col min="15900" max="15900" width="8.125" style="201" customWidth="1"/>
    <col min="15901" max="15901" width="9.25" style="201" customWidth="1"/>
    <col min="15902" max="15902" width="9" style="201" customWidth="1"/>
    <col min="15903" max="15903" width="9.25" style="201" customWidth="1"/>
    <col min="15904" max="15905" width="0" style="201" hidden="1" customWidth="1"/>
    <col min="15906" max="15906" width="9.125" style="201" customWidth="1"/>
    <col min="15907" max="15907" width="10.125" style="201" customWidth="1"/>
    <col min="15908" max="15908" width="9.125" style="201" customWidth="1"/>
    <col min="15909" max="15915" width="9.625" style="201" customWidth="1"/>
    <col min="15916" max="15916" width="19.25" style="201" customWidth="1"/>
    <col min="15917" max="15917" width="22.125" style="201" customWidth="1"/>
    <col min="15918" max="15918" width="16.75" style="201" customWidth="1"/>
    <col min="15919" max="15919" width="13.625" style="201" customWidth="1"/>
    <col min="15920" max="15920" width="12" style="201" customWidth="1"/>
    <col min="15921" max="15921" width="9.25" style="201" customWidth="1"/>
    <col min="15922" max="15922" width="15.25" style="201" customWidth="1"/>
    <col min="15923" max="15923" width="9.75" style="201" customWidth="1"/>
    <col min="15924" max="15924" width="2.625" style="201" customWidth="1"/>
    <col min="15925" max="15925" width="23.875" style="201" customWidth="1"/>
    <col min="15926" max="16139" width="9.125" style="201"/>
    <col min="16140" max="16140" width="6.25" style="201" customWidth="1"/>
    <col min="16141" max="16141" width="35.625" style="201" customWidth="1"/>
    <col min="16142" max="16144" width="0" style="201" hidden="1" customWidth="1"/>
    <col min="16145" max="16145" width="17.25" style="201" customWidth="1"/>
    <col min="16146" max="16146" width="11.25" style="201" customWidth="1"/>
    <col min="16147" max="16147" width="9.625" style="201" customWidth="1"/>
    <col min="16148" max="16153" width="0" style="201" hidden="1" customWidth="1"/>
    <col min="16154" max="16154" width="11.25" style="201" customWidth="1"/>
    <col min="16155" max="16155" width="11.125" style="201" customWidth="1"/>
    <col min="16156" max="16156" width="8.125" style="201" customWidth="1"/>
    <col min="16157" max="16157" width="9.25" style="201" customWidth="1"/>
    <col min="16158" max="16158" width="9" style="201" customWidth="1"/>
    <col min="16159" max="16159" width="9.25" style="201" customWidth="1"/>
    <col min="16160" max="16161" width="0" style="201" hidden="1" customWidth="1"/>
    <col min="16162" max="16162" width="9.125" style="201" customWidth="1"/>
    <col min="16163" max="16163" width="10.125" style="201" customWidth="1"/>
    <col min="16164" max="16164" width="9.125" style="201" customWidth="1"/>
    <col min="16165" max="16171" width="9.625" style="201" customWidth="1"/>
    <col min="16172" max="16172" width="19.25" style="201" customWidth="1"/>
    <col min="16173" max="16173" width="22.125" style="201" customWidth="1"/>
    <col min="16174" max="16174" width="16.75" style="201" customWidth="1"/>
    <col min="16175" max="16175" width="13.625" style="201" customWidth="1"/>
    <col min="16176" max="16176" width="12" style="201" customWidth="1"/>
    <col min="16177" max="16177" width="9.25" style="201" customWidth="1"/>
    <col min="16178" max="16178" width="15.25" style="201" customWidth="1"/>
    <col min="16179" max="16179" width="9.75" style="201" customWidth="1"/>
    <col min="16180" max="16180" width="2.625" style="201" customWidth="1"/>
    <col min="16181" max="16181" width="23.875" style="201" customWidth="1"/>
    <col min="16182" max="16384" width="9.125" style="201"/>
  </cols>
  <sheetData>
    <row r="1" spans="1:60" ht="19.5">
      <c r="A1" s="813" t="s">
        <v>283</v>
      </c>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3"/>
      <c r="AT1" s="813"/>
    </row>
    <row r="2" spans="1:60" s="13" customFormat="1" ht="23.45" hidden="1" customHeight="1">
      <c r="A2" s="814" t="s">
        <v>277</v>
      </c>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c r="AN2" s="814"/>
      <c r="AO2" s="814"/>
      <c r="AP2" s="814"/>
      <c r="AQ2" s="814"/>
      <c r="AR2" s="814"/>
      <c r="AS2" s="814"/>
      <c r="AT2" s="814"/>
    </row>
    <row r="3" spans="1:60" s="13" customFormat="1" ht="30.6" customHeight="1">
      <c r="A3" s="812" t="s">
        <v>982</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row>
    <row r="4" spans="1:60" s="204" customFormat="1" ht="29.25" customHeight="1">
      <c r="A4" s="817" t="str">
        <f>+'[1]Bieu8.ODA (theo trong nuoc)'!$A$4:$CH$4</f>
        <v>(Kèm theo Nghị quyết số  /NQ-HĐND ngày    tháng 12 năm 2017 của HĐND tỉnh Điện Biên)</v>
      </c>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436" t="s">
        <v>783</v>
      </c>
      <c r="AV4" s="202"/>
      <c r="AW4" s="436"/>
      <c r="AX4" s="203"/>
      <c r="AY4" s="203"/>
      <c r="AZ4" s="203"/>
      <c r="BA4" s="203"/>
      <c r="BD4" s="204" t="s">
        <v>782</v>
      </c>
      <c r="BE4" s="205" t="s">
        <v>784</v>
      </c>
    </row>
    <row r="5" spans="1:60" s="204" customFormat="1" ht="15" customHeight="1">
      <c r="A5" s="206"/>
      <c r="B5" s="206"/>
      <c r="C5" s="206"/>
      <c r="D5" s="206"/>
      <c r="E5" s="206"/>
      <c r="F5" s="206"/>
      <c r="G5" s="206"/>
      <c r="H5" s="206"/>
      <c r="I5" s="206"/>
      <c r="J5" s="215"/>
      <c r="K5" s="206"/>
      <c r="L5" s="206"/>
      <c r="M5" s="206"/>
      <c r="N5" s="206"/>
      <c r="O5" s="206"/>
      <c r="P5" s="206"/>
      <c r="Q5" s="437"/>
      <c r="R5" s="437"/>
      <c r="S5" s="207"/>
      <c r="T5" s="207"/>
      <c r="U5" s="207"/>
      <c r="V5" s="207"/>
      <c r="W5" s="418"/>
      <c r="X5" s="438"/>
      <c r="Y5" s="438"/>
      <c r="Z5" s="438"/>
      <c r="AA5" s="438"/>
      <c r="AB5" s="439"/>
      <c r="AC5" s="439"/>
      <c r="AD5" s="439"/>
      <c r="AE5" s="439"/>
      <c r="AF5" s="208"/>
      <c r="AG5" s="208"/>
      <c r="AH5" s="208"/>
      <c r="AI5" s="208"/>
      <c r="AJ5" s="438"/>
      <c r="AK5" s="438"/>
      <c r="AL5" s="438"/>
      <c r="AM5" s="438"/>
      <c r="AN5" s="438"/>
      <c r="AO5" s="438"/>
      <c r="AP5" s="209"/>
      <c r="AQ5" s="209"/>
      <c r="AR5" s="209"/>
      <c r="AS5" s="811" t="s">
        <v>788</v>
      </c>
      <c r="AT5" s="811"/>
      <c r="AU5" s="210"/>
      <c r="AV5" s="211"/>
      <c r="AW5" s="210"/>
      <c r="AX5" s="212"/>
      <c r="AY5" s="212"/>
      <c r="AZ5" s="212"/>
      <c r="BA5" s="212"/>
      <c r="BE5" s="205"/>
    </row>
    <row r="6" spans="1:60" s="796" customFormat="1" ht="26.25" customHeight="1">
      <c r="A6" s="810" t="s">
        <v>4</v>
      </c>
      <c r="B6" s="810" t="s">
        <v>23</v>
      </c>
      <c r="C6" s="810" t="s">
        <v>24</v>
      </c>
      <c r="D6" s="810" t="s">
        <v>952</v>
      </c>
      <c r="E6" s="810" t="s">
        <v>953</v>
      </c>
      <c r="F6" s="810" t="s">
        <v>954</v>
      </c>
      <c r="G6" s="810" t="s">
        <v>955</v>
      </c>
      <c r="H6" s="810" t="s">
        <v>25</v>
      </c>
      <c r="I6" s="810" t="s">
        <v>26</v>
      </c>
      <c r="J6" s="810" t="s">
        <v>290</v>
      </c>
      <c r="K6" s="810"/>
      <c r="L6" s="810"/>
      <c r="M6" s="810" t="s">
        <v>291</v>
      </c>
      <c r="N6" s="810"/>
      <c r="O6" s="810" t="s">
        <v>292</v>
      </c>
      <c r="P6" s="810"/>
      <c r="Q6" s="806" t="s">
        <v>293</v>
      </c>
      <c r="R6" s="807"/>
      <c r="S6" s="810" t="s">
        <v>294</v>
      </c>
      <c r="T6" s="810"/>
      <c r="U6" s="810"/>
      <c r="V6" s="810"/>
      <c r="W6" s="806" t="s">
        <v>960</v>
      </c>
      <c r="X6" s="815" t="s">
        <v>295</v>
      </c>
      <c r="Y6" s="815"/>
      <c r="Z6" s="815"/>
      <c r="AA6" s="807"/>
      <c r="AB6" s="815" t="s">
        <v>797</v>
      </c>
      <c r="AC6" s="815"/>
      <c r="AD6" s="815"/>
      <c r="AE6" s="807"/>
      <c r="AF6" s="806" t="s">
        <v>945</v>
      </c>
      <c r="AG6" s="807"/>
      <c r="AH6" s="806" t="s">
        <v>284</v>
      </c>
      <c r="AI6" s="807"/>
      <c r="AJ6" s="806" t="s">
        <v>798</v>
      </c>
      <c r="AK6" s="807"/>
      <c r="AL6" s="806" t="s">
        <v>285</v>
      </c>
      <c r="AM6" s="815"/>
      <c r="AN6" s="815"/>
      <c r="AO6" s="807"/>
      <c r="AP6" s="810" t="s">
        <v>789</v>
      </c>
      <c r="AQ6" s="810"/>
      <c r="AR6" s="810"/>
      <c r="AS6" s="810"/>
      <c r="AT6" s="810" t="s">
        <v>7</v>
      </c>
      <c r="AU6" s="791">
        <f>AQ43-AU8</f>
        <v>13441</v>
      </c>
      <c r="AV6" s="792"/>
      <c r="AW6" s="793" t="s">
        <v>296</v>
      </c>
      <c r="AX6" s="793">
        <f>AW16</f>
        <v>138101</v>
      </c>
      <c r="AY6" s="794">
        <f>AT17</f>
        <v>1053860</v>
      </c>
      <c r="AZ6" s="795">
        <f>AC59-AC60</f>
        <v>24177</v>
      </c>
      <c r="BA6" s="795"/>
      <c r="BD6" s="797">
        <f>BE8/AQ43*100</f>
        <v>17.742828504605985</v>
      </c>
      <c r="BE6" s="798"/>
    </row>
    <row r="7" spans="1:60" s="794" customFormat="1" ht="31.5" customHeight="1">
      <c r="A7" s="810"/>
      <c r="B7" s="810"/>
      <c r="C7" s="810"/>
      <c r="D7" s="810"/>
      <c r="E7" s="810"/>
      <c r="F7" s="810"/>
      <c r="G7" s="810"/>
      <c r="H7" s="810"/>
      <c r="I7" s="810"/>
      <c r="J7" s="810"/>
      <c r="K7" s="810"/>
      <c r="L7" s="810"/>
      <c r="M7" s="810"/>
      <c r="N7" s="810"/>
      <c r="O7" s="810"/>
      <c r="P7" s="810"/>
      <c r="Q7" s="808"/>
      <c r="R7" s="809"/>
      <c r="S7" s="810"/>
      <c r="T7" s="810"/>
      <c r="U7" s="810"/>
      <c r="V7" s="810"/>
      <c r="W7" s="824"/>
      <c r="X7" s="816"/>
      <c r="Y7" s="816"/>
      <c r="Z7" s="816"/>
      <c r="AA7" s="809"/>
      <c r="AB7" s="816"/>
      <c r="AC7" s="816"/>
      <c r="AD7" s="816"/>
      <c r="AE7" s="809"/>
      <c r="AF7" s="808"/>
      <c r="AG7" s="809"/>
      <c r="AH7" s="808"/>
      <c r="AI7" s="809"/>
      <c r="AJ7" s="808"/>
      <c r="AK7" s="809"/>
      <c r="AL7" s="808"/>
      <c r="AM7" s="816"/>
      <c r="AN7" s="816"/>
      <c r="AO7" s="809"/>
      <c r="AP7" s="810"/>
      <c r="AQ7" s="810"/>
      <c r="AR7" s="810"/>
      <c r="AS7" s="810"/>
      <c r="AT7" s="810"/>
      <c r="AU7" s="791"/>
      <c r="AV7" s="791">
        <f>U392</f>
        <v>0</v>
      </c>
      <c r="AW7" s="799"/>
      <c r="AX7" s="799"/>
      <c r="AY7" s="794">
        <f>AW28-AW16</f>
        <v>-94769</v>
      </c>
      <c r="AZ7" s="794">
        <f>U195</f>
        <v>0</v>
      </c>
      <c r="BD7" s="800"/>
      <c r="BE7" s="798"/>
    </row>
    <row r="8" spans="1:60" s="794" customFormat="1" ht="25.5" customHeight="1">
      <c r="A8" s="810"/>
      <c r="B8" s="810"/>
      <c r="C8" s="810"/>
      <c r="D8" s="810"/>
      <c r="E8" s="810"/>
      <c r="F8" s="810"/>
      <c r="G8" s="810"/>
      <c r="H8" s="810"/>
      <c r="I8" s="810"/>
      <c r="J8" s="810" t="s">
        <v>278</v>
      </c>
      <c r="K8" s="810" t="s">
        <v>30</v>
      </c>
      <c r="L8" s="810"/>
      <c r="M8" s="810" t="s">
        <v>31</v>
      </c>
      <c r="N8" s="807" t="s">
        <v>99</v>
      </c>
      <c r="O8" s="810" t="s">
        <v>31</v>
      </c>
      <c r="P8" s="807" t="s">
        <v>99</v>
      </c>
      <c r="Q8" s="819" t="s">
        <v>31</v>
      </c>
      <c r="R8" s="807" t="s">
        <v>99</v>
      </c>
      <c r="S8" s="810" t="s">
        <v>31</v>
      </c>
      <c r="T8" s="810" t="s">
        <v>99</v>
      </c>
      <c r="U8" s="810"/>
      <c r="V8" s="810"/>
      <c r="W8" s="824"/>
      <c r="X8" s="810" t="s">
        <v>31</v>
      </c>
      <c r="Y8" s="806" t="s">
        <v>99</v>
      </c>
      <c r="Z8" s="815"/>
      <c r="AA8" s="807"/>
      <c r="AB8" s="810" t="s">
        <v>31</v>
      </c>
      <c r="AC8" s="810" t="s">
        <v>99</v>
      </c>
      <c r="AD8" s="810"/>
      <c r="AE8" s="810"/>
      <c r="AF8" s="819" t="s">
        <v>297</v>
      </c>
      <c r="AG8" s="819" t="s">
        <v>192</v>
      </c>
      <c r="AH8" s="819" t="s">
        <v>9</v>
      </c>
      <c r="AI8" s="819" t="s">
        <v>298</v>
      </c>
      <c r="AJ8" s="819" t="s">
        <v>9</v>
      </c>
      <c r="AK8" s="819" t="s">
        <v>298</v>
      </c>
      <c r="AL8" s="819" t="s">
        <v>31</v>
      </c>
      <c r="AM8" s="810" t="s">
        <v>741</v>
      </c>
      <c r="AN8" s="810"/>
      <c r="AO8" s="810"/>
      <c r="AP8" s="819" t="s">
        <v>31</v>
      </c>
      <c r="AQ8" s="810" t="s">
        <v>741</v>
      </c>
      <c r="AR8" s="810"/>
      <c r="AS8" s="810"/>
      <c r="AT8" s="810"/>
      <c r="AU8" s="791">
        <f>AU9+AU10+AU11</f>
        <v>615089</v>
      </c>
      <c r="AV8" s="791"/>
      <c r="AW8" s="799"/>
      <c r="AX8" s="799">
        <f>AX6-AW28</f>
        <v>94769</v>
      </c>
      <c r="AY8" s="794">
        <f>AX28-AX16</f>
        <v>-245748.29999999987</v>
      </c>
      <c r="BC8" s="794">
        <f>U392</f>
        <v>0</v>
      </c>
      <c r="BD8" s="800">
        <f>20-BD6</f>
        <v>2.2571714953940152</v>
      </c>
      <c r="BE8" s="794">
        <f>BF12</f>
        <v>111519</v>
      </c>
    </row>
    <row r="9" spans="1:60" s="794" customFormat="1" ht="21" customHeight="1">
      <c r="A9" s="810"/>
      <c r="B9" s="810"/>
      <c r="C9" s="810"/>
      <c r="D9" s="810"/>
      <c r="E9" s="810"/>
      <c r="F9" s="810"/>
      <c r="G9" s="810"/>
      <c r="H9" s="810"/>
      <c r="I9" s="810"/>
      <c r="J9" s="810"/>
      <c r="K9" s="810" t="s">
        <v>31</v>
      </c>
      <c r="L9" s="810" t="s">
        <v>298</v>
      </c>
      <c r="M9" s="810"/>
      <c r="N9" s="818"/>
      <c r="O9" s="810"/>
      <c r="P9" s="818"/>
      <c r="Q9" s="820"/>
      <c r="R9" s="818"/>
      <c r="S9" s="810"/>
      <c r="T9" s="810" t="s">
        <v>9</v>
      </c>
      <c r="U9" s="823" t="s">
        <v>65</v>
      </c>
      <c r="V9" s="823"/>
      <c r="W9" s="824"/>
      <c r="X9" s="810"/>
      <c r="Y9" s="822" t="s">
        <v>9</v>
      </c>
      <c r="Z9" s="823" t="s">
        <v>65</v>
      </c>
      <c r="AA9" s="823"/>
      <c r="AB9" s="810"/>
      <c r="AC9" s="822" t="s">
        <v>9</v>
      </c>
      <c r="AD9" s="823" t="s">
        <v>65</v>
      </c>
      <c r="AE9" s="823"/>
      <c r="AF9" s="820"/>
      <c r="AG9" s="820"/>
      <c r="AH9" s="820"/>
      <c r="AI9" s="820"/>
      <c r="AJ9" s="820"/>
      <c r="AK9" s="820"/>
      <c r="AL9" s="820"/>
      <c r="AM9" s="819" t="s">
        <v>9</v>
      </c>
      <c r="AN9" s="819" t="s">
        <v>742</v>
      </c>
      <c r="AO9" s="819" t="s">
        <v>300</v>
      </c>
      <c r="AP9" s="820"/>
      <c r="AQ9" s="810" t="s">
        <v>9</v>
      </c>
      <c r="AR9" s="823" t="s">
        <v>14</v>
      </c>
      <c r="AS9" s="823"/>
      <c r="AT9" s="810"/>
      <c r="AU9" s="791">
        <v>584089</v>
      </c>
      <c r="AV9" s="791">
        <f>T26</f>
        <v>0</v>
      </c>
      <c r="AW9" s="799"/>
      <c r="AX9" s="799"/>
      <c r="AY9" s="794">
        <f>U220</f>
        <v>0</v>
      </c>
      <c r="AZ9" s="794">
        <f>AC85-AC86</f>
        <v>10218</v>
      </c>
      <c r="BD9" s="794">
        <f>BD8*AQ43/100</f>
        <v>14187.000000000005</v>
      </c>
    </row>
    <row r="10" spans="1:60" s="794" customFormat="1" ht="15" customHeight="1">
      <c r="A10" s="810"/>
      <c r="B10" s="810"/>
      <c r="C10" s="810"/>
      <c r="D10" s="810"/>
      <c r="E10" s="810"/>
      <c r="F10" s="810"/>
      <c r="G10" s="810"/>
      <c r="H10" s="810"/>
      <c r="I10" s="810"/>
      <c r="J10" s="810"/>
      <c r="K10" s="810"/>
      <c r="L10" s="810"/>
      <c r="M10" s="810"/>
      <c r="N10" s="818"/>
      <c r="O10" s="810"/>
      <c r="P10" s="818"/>
      <c r="Q10" s="820"/>
      <c r="R10" s="818"/>
      <c r="S10" s="810"/>
      <c r="T10" s="810"/>
      <c r="U10" s="823" t="s">
        <v>299</v>
      </c>
      <c r="V10" s="823" t="s">
        <v>300</v>
      </c>
      <c r="W10" s="824"/>
      <c r="X10" s="810"/>
      <c r="Y10" s="822"/>
      <c r="Z10" s="810" t="s">
        <v>299</v>
      </c>
      <c r="AA10" s="810" t="s">
        <v>300</v>
      </c>
      <c r="AB10" s="810"/>
      <c r="AC10" s="822"/>
      <c r="AD10" s="810" t="s">
        <v>299</v>
      </c>
      <c r="AE10" s="810" t="s">
        <v>300</v>
      </c>
      <c r="AF10" s="820"/>
      <c r="AG10" s="820"/>
      <c r="AH10" s="820"/>
      <c r="AI10" s="820"/>
      <c r="AJ10" s="820"/>
      <c r="AK10" s="820"/>
      <c r="AL10" s="820"/>
      <c r="AM10" s="820"/>
      <c r="AN10" s="820"/>
      <c r="AO10" s="820"/>
      <c r="AP10" s="820"/>
      <c r="AQ10" s="810"/>
      <c r="AR10" s="823" t="s">
        <v>299</v>
      </c>
      <c r="AS10" s="823" t="s">
        <v>300</v>
      </c>
      <c r="AT10" s="810"/>
      <c r="AU10" s="791">
        <v>12000</v>
      </c>
      <c r="AV10" s="791"/>
      <c r="AW10" s="799">
        <f>U138</f>
        <v>0</v>
      </c>
      <c r="AX10" s="799">
        <f>AC115-AC116</f>
        <v>15263</v>
      </c>
      <c r="BC10" s="794">
        <f>AT21</f>
        <v>60000</v>
      </c>
    </row>
    <row r="11" spans="1:60" s="794" customFormat="1" ht="27.95" customHeight="1">
      <c r="A11" s="810"/>
      <c r="B11" s="810"/>
      <c r="C11" s="810"/>
      <c r="D11" s="810"/>
      <c r="E11" s="810"/>
      <c r="F11" s="810"/>
      <c r="G11" s="810"/>
      <c r="H11" s="810"/>
      <c r="I11" s="810"/>
      <c r="J11" s="810"/>
      <c r="K11" s="810"/>
      <c r="L11" s="810"/>
      <c r="M11" s="810"/>
      <c r="N11" s="818"/>
      <c r="O11" s="810"/>
      <c r="P11" s="818"/>
      <c r="Q11" s="820"/>
      <c r="R11" s="818"/>
      <c r="S11" s="810"/>
      <c r="T11" s="810"/>
      <c r="U11" s="823"/>
      <c r="V11" s="823"/>
      <c r="W11" s="824"/>
      <c r="X11" s="810"/>
      <c r="Y11" s="822"/>
      <c r="Z11" s="810"/>
      <c r="AA11" s="810"/>
      <c r="AB11" s="810"/>
      <c r="AC11" s="822"/>
      <c r="AD11" s="810"/>
      <c r="AE11" s="810"/>
      <c r="AF11" s="820"/>
      <c r="AG11" s="820"/>
      <c r="AH11" s="820"/>
      <c r="AI11" s="820"/>
      <c r="AJ11" s="820"/>
      <c r="AK11" s="820"/>
      <c r="AL11" s="820"/>
      <c r="AM11" s="820"/>
      <c r="AN11" s="820"/>
      <c r="AO11" s="820"/>
      <c r="AP11" s="820"/>
      <c r="AQ11" s="810"/>
      <c r="AR11" s="823"/>
      <c r="AS11" s="823"/>
      <c r="AT11" s="810"/>
      <c r="AU11" s="791">
        <v>19000</v>
      </c>
      <c r="AV11" s="791"/>
      <c r="AW11" s="799"/>
      <c r="AX11" s="799">
        <f>U85</f>
        <v>0</v>
      </c>
      <c r="AY11" s="794">
        <f>U392</f>
        <v>0</v>
      </c>
      <c r="BC11" s="794" t="e">
        <f>#REF!-AT28</f>
        <v>#REF!</v>
      </c>
      <c r="BF11" s="801"/>
    </row>
    <row r="12" spans="1:60" s="794" customFormat="1" ht="40.5" customHeight="1">
      <c r="A12" s="810"/>
      <c r="B12" s="810"/>
      <c r="C12" s="810"/>
      <c r="D12" s="810"/>
      <c r="E12" s="810"/>
      <c r="F12" s="810"/>
      <c r="G12" s="810"/>
      <c r="H12" s="810"/>
      <c r="I12" s="810"/>
      <c r="J12" s="810"/>
      <c r="K12" s="810"/>
      <c r="L12" s="810"/>
      <c r="M12" s="810"/>
      <c r="N12" s="809"/>
      <c r="O12" s="810"/>
      <c r="P12" s="809"/>
      <c r="Q12" s="821"/>
      <c r="R12" s="809"/>
      <c r="S12" s="810"/>
      <c r="T12" s="810"/>
      <c r="U12" s="823"/>
      <c r="V12" s="823"/>
      <c r="W12" s="808"/>
      <c r="X12" s="810"/>
      <c r="Y12" s="822"/>
      <c r="Z12" s="810"/>
      <c r="AA12" s="810"/>
      <c r="AB12" s="810"/>
      <c r="AC12" s="822"/>
      <c r="AD12" s="810"/>
      <c r="AE12" s="810"/>
      <c r="AF12" s="821"/>
      <c r="AG12" s="821"/>
      <c r="AH12" s="821"/>
      <c r="AI12" s="821"/>
      <c r="AJ12" s="821"/>
      <c r="AK12" s="821"/>
      <c r="AL12" s="821"/>
      <c r="AM12" s="821"/>
      <c r="AN12" s="821"/>
      <c r="AO12" s="821"/>
      <c r="AP12" s="821"/>
      <c r="AQ12" s="810"/>
      <c r="AR12" s="823"/>
      <c r="AS12" s="823"/>
      <c r="AT12" s="810"/>
      <c r="AU12" s="802">
        <f>AT139-AQ139</f>
        <v>-24406</v>
      </c>
      <c r="AV12" s="802"/>
      <c r="AW12" s="803"/>
      <c r="AX12" s="803"/>
      <c r="AZ12" s="825" t="s">
        <v>301</v>
      </c>
      <c r="BF12" s="794">
        <f>SUM(BF13:BF506)</f>
        <v>111519</v>
      </c>
      <c r="BH12" s="794">
        <f>BF12-AQ57</f>
        <v>611.79999999998836</v>
      </c>
    </row>
    <row r="13" spans="1:60" s="443" customFormat="1" ht="25.5" customHeight="1">
      <c r="A13" s="18">
        <v>1</v>
      </c>
      <c r="B13" s="18">
        <v>2</v>
      </c>
      <c r="C13" s="18">
        <v>3</v>
      </c>
      <c r="D13" s="18"/>
      <c r="E13" s="18"/>
      <c r="F13" s="18"/>
      <c r="G13" s="18"/>
      <c r="H13" s="18">
        <v>4</v>
      </c>
      <c r="I13" s="18">
        <v>5</v>
      </c>
      <c r="J13" s="18">
        <v>3</v>
      </c>
      <c r="K13" s="18">
        <v>4</v>
      </c>
      <c r="L13" s="18">
        <v>5</v>
      </c>
      <c r="M13" s="18">
        <v>9</v>
      </c>
      <c r="N13" s="18">
        <v>10</v>
      </c>
      <c r="O13" s="18">
        <v>11</v>
      </c>
      <c r="P13" s="18">
        <v>12</v>
      </c>
      <c r="Q13" s="18">
        <v>9</v>
      </c>
      <c r="R13" s="18">
        <v>10</v>
      </c>
      <c r="S13" s="18">
        <v>6</v>
      </c>
      <c r="T13" s="18">
        <v>7</v>
      </c>
      <c r="U13" s="18">
        <v>8</v>
      </c>
      <c r="V13" s="18">
        <v>9</v>
      </c>
      <c r="W13" s="18"/>
      <c r="X13" s="18">
        <v>15</v>
      </c>
      <c r="Y13" s="18">
        <v>16</v>
      </c>
      <c r="Z13" s="18">
        <v>19</v>
      </c>
      <c r="AA13" s="18">
        <v>20</v>
      </c>
      <c r="AB13" s="18">
        <v>17</v>
      </c>
      <c r="AC13" s="18">
        <v>18</v>
      </c>
      <c r="AD13" s="18">
        <v>19</v>
      </c>
      <c r="AE13" s="18">
        <v>20</v>
      </c>
      <c r="AF13" s="18"/>
      <c r="AG13" s="18"/>
      <c r="AH13" s="18">
        <v>10</v>
      </c>
      <c r="AI13" s="18">
        <v>11</v>
      </c>
      <c r="AJ13" s="18"/>
      <c r="AK13" s="18"/>
      <c r="AL13" s="18">
        <v>12</v>
      </c>
      <c r="AM13" s="18">
        <v>13</v>
      </c>
      <c r="AN13" s="18">
        <v>14</v>
      </c>
      <c r="AO13" s="18">
        <v>15</v>
      </c>
      <c r="AP13" s="18">
        <v>16</v>
      </c>
      <c r="AQ13" s="18">
        <v>17</v>
      </c>
      <c r="AR13" s="18">
        <v>18</v>
      </c>
      <c r="AS13" s="18">
        <v>19</v>
      </c>
      <c r="AT13" s="18">
        <v>20</v>
      </c>
      <c r="AU13" s="18">
        <v>759783</v>
      </c>
      <c r="AV13" s="18"/>
      <c r="AW13" s="18"/>
      <c r="AX13" s="18">
        <v>29</v>
      </c>
      <c r="AY13" s="18"/>
      <c r="AZ13" s="826"/>
      <c r="BA13" s="18">
        <v>31</v>
      </c>
    </row>
    <row r="14" spans="1:60" s="443" customFormat="1" ht="25.5" hidden="1" customHeight="1">
      <c r="A14" s="18"/>
      <c r="B14" s="18"/>
      <c r="C14" s="18"/>
      <c r="D14" s="18"/>
      <c r="E14" s="18"/>
      <c r="F14" s="18"/>
      <c r="G14" s="18"/>
      <c r="H14" s="18"/>
      <c r="I14" s="18"/>
      <c r="J14" s="444"/>
      <c r="K14" s="445"/>
      <c r="L14" s="445"/>
      <c r="M14" s="445"/>
      <c r="N14" s="445"/>
      <c r="O14" s="445"/>
      <c r="P14" s="445"/>
      <c r="Q14" s="445"/>
      <c r="R14" s="445"/>
      <c r="S14" s="445"/>
      <c r="T14" s="445"/>
      <c r="U14" s="445"/>
      <c r="V14" s="445"/>
      <c r="W14" s="445"/>
      <c r="X14" s="445"/>
      <c r="Y14" s="445"/>
      <c r="Z14" s="445"/>
      <c r="AA14" s="445"/>
      <c r="AB14" s="445">
        <f>AC15+AC481</f>
        <v>380717.69325999997</v>
      </c>
      <c r="AC14" s="445">
        <f>AB14+AC509+AC508</f>
        <v>536371.23750299995</v>
      </c>
      <c r="AD14" s="445"/>
      <c r="AE14" s="445">
        <f>AC16-AC14</f>
        <v>154133.76249700005</v>
      </c>
      <c r="AF14" s="445">
        <v>3585.9872909999999</v>
      </c>
      <c r="AG14" s="445"/>
      <c r="AH14" s="445"/>
      <c r="AI14" s="445"/>
      <c r="AJ14" s="445"/>
      <c r="AK14" s="445"/>
      <c r="AL14" s="445"/>
      <c r="AM14" s="445"/>
      <c r="AN14" s="445"/>
      <c r="AO14" s="445"/>
      <c r="AP14" s="445">
        <f>AC15*1.1</f>
        <v>418789.46258599998</v>
      </c>
      <c r="AQ14" s="445"/>
      <c r="AR14" s="445"/>
      <c r="AS14" s="445"/>
      <c r="AT14" s="18"/>
      <c r="AU14" s="18"/>
      <c r="AV14" s="18"/>
      <c r="AW14" s="18"/>
      <c r="AX14" s="18"/>
      <c r="AY14" s="446"/>
      <c r="AZ14" s="442"/>
      <c r="BA14" s="18"/>
    </row>
    <row r="15" spans="1:60" s="443" customFormat="1" ht="25.5" hidden="1" customHeight="1">
      <c r="A15" s="18"/>
      <c r="B15" s="18"/>
      <c r="C15" s="18"/>
      <c r="D15" s="18"/>
      <c r="E15" s="18"/>
      <c r="F15" s="18"/>
      <c r="G15" s="18"/>
      <c r="H15" s="18"/>
      <c r="I15" s="18"/>
      <c r="J15" s="444"/>
      <c r="K15" s="445"/>
      <c r="L15" s="445"/>
      <c r="M15" s="445"/>
      <c r="N15" s="445"/>
      <c r="O15" s="445"/>
      <c r="P15" s="445"/>
      <c r="Q15" s="445"/>
      <c r="R15" s="445"/>
      <c r="S15" s="445"/>
      <c r="T15" s="445"/>
      <c r="U15" s="445"/>
      <c r="V15" s="445"/>
      <c r="W15" s="445"/>
      <c r="X15" s="445"/>
      <c r="Y15" s="445"/>
      <c r="Z15" s="445"/>
      <c r="AA15" s="445"/>
      <c r="AB15" s="445"/>
      <c r="AC15" s="445">
        <f>AC60+AC86+AC116+AC139+AC172+AC196+AC221+AC250+AC277+AC304+AC312+AC342+AC349+AC393+AC435+AC463</f>
        <v>380717.69325999997</v>
      </c>
      <c r="AD15" s="445"/>
      <c r="AE15" s="445"/>
      <c r="AF15" s="445">
        <f>AF60+AF86+AF116+AF139+AF172+AF196+AF221+AF250+AF277+AF304+AF312+AF342+AF349+AF393+AF435+AF463+AF509</f>
        <v>121345.56517299998</v>
      </c>
      <c r="AG15" s="445">
        <f>AG60+AG86+AG116+AG139+AG172+AG196+AG221+AG250+AG277+AG304+AG312+AG342+AG349+AG393+AG435+AG463+AG509</f>
        <v>196283.58085100001</v>
      </c>
      <c r="AH15" s="445"/>
      <c r="AI15" s="445"/>
      <c r="AJ15" s="445"/>
      <c r="AK15" s="445"/>
      <c r="AL15" s="445"/>
      <c r="AM15" s="445"/>
      <c r="AN15" s="445"/>
      <c r="AO15" s="445"/>
      <c r="AP15" s="445">
        <f>AP60+AP86+AP116+AP139+AP172+AP196+AP221+AP250+AP277+AP304+AP312+AP342+AP349+AP393+AP435+AP463</f>
        <v>623153</v>
      </c>
      <c r="AQ15" s="445">
        <f>AQ60+AQ86+AQ116+AQ139+AQ172+AQ196+AQ221+AQ250+AQ277+AQ304+AQ312+AQ342+AQ349+AQ393+AQ435+AQ463</f>
        <v>584536</v>
      </c>
      <c r="AR15" s="445">
        <f>AR60+AR86+AR116+AR139+AR172+AR196+AR221+AR250+AR277+AR304+AR312+AR342+AR349+AR393+AR435+AR463</f>
        <v>51000</v>
      </c>
      <c r="AS15" s="445">
        <f>AS60+AS86+AS116+AS139+AS172+AS196+AS221+AS250+AS277+AS304+AS312+AS342+AS349+AS393+AS435+AS463</f>
        <v>0</v>
      </c>
      <c r="AT15" s="18"/>
      <c r="AU15" s="18">
        <f>AP15-AQ15</f>
        <v>38617</v>
      </c>
      <c r="AV15" s="18"/>
      <c r="AW15" s="18"/>
      <c r="AX15" s="18"/>
      <c r="AY15" s="446"/>
      <c r="AZ15" s="442"/>
      <c r="BA15" s="18"/>
    </row>
    <row r="16" spans="1:60" s="19" customFormat="1" ht="23.25" hidden="1" customHeight="1">
      <c r="A16" s="45" t="s">
        <v>73</v>
      </c>
      <c r="B16" s="447" t="s">
        <v>302</v>
      </c>
      <c r="C16" s="18"/>
      <c r="D16" s="18"/>
      <c r="E16" s="18"/>
      <c r="F16" s="18"/>
      <c r="G16" s="18"/>
      <c r="H16" s="18"/>
      <c r="I16" s="18"/>
      <c r="J16" s="444"/>
      <c r="K16" s="445"/>
      <c r="L16" s="445"/>
      <c r="M16" s="445"/>
      <c r="N16" s="445"/>
      <c r="O16" s="445"/>
      <c r="P16" s="445"/>
      <c r="Q16" s="445"/>
      <c r="R16" s="445"/>
      <c r="S16" s="448"/>
      <c r="T16" s="448">
        <f>T17+T27</f>
        <v>3569492</v>
      </c>
      <c r="U16" s="448"/>
      <c r="V16" s="448"/>
      <c r="W16" s="448"/>
      <c r="X16" s="448"/>
      <c r="Y16" s="448">
        <f>Y17+Y27</f>
        <v>627050</v>
      </c>
      <c r="Z16" s="448"/>
      <c r="AA16" s="448"/>
      <c r="AB16" s="448"/>
      <c r="AC16" s="448">
        <f>AC17+AC23</f>
        <v>690505</v>
      </c>
      <c r="AD16" s="448"/>
      <c r="AE16" s="448"/>
      <c r="AF16" s="448">
        <f>AF17+AF23</f>
        <v>0</v>
      </c>
      <c r="AG16" s="448">
        <f>AG17+AG23</f>
        <v>0</v>
      </c>
      <c r="AH16" s="448">
        <f>X16+AB16</f>
        <v>0</v>
      </c>
      <c r="AI16" s="448">
        <f>Y16+AC16</f>
        <v>1317555</v>
      </c>
      <c r="AJ16" s="448"/>
      <c r="AK16" s="448"/>
      <c r="AL16" s="448"/>
      <c r="AM16" s="448"/>
      <c r="AN16" s="448"/>
      <c r="AO16" s="448"/>
      <c r="AP16" s="448"/>
      <c r="AQ16" s="448"/>
      <c r="AR16" s="448"/>
      <c r="AS16" s="448"/>
      <c r="AT16" s="18">
        <f>AC16-AT17</f>
        <v>-363355</v>
      </c>
      <c r="AU16" s="18">
        <f t="shared" ref="AU16:AU67" si="0">AP16-AQ16</f>
        <v>0</v>
      </c>
      <c r="AV16" s="18"/>
      <c r="AW16" s="18">
        <f>AC16/100*20</f>
        <v>138101</v>
      </c>
      <c r="AX16" s="18">
        <f>T16/100*20</f>
        <v>713898.39999999991</v>
      </c>
      <c r="AY16" s="446">
        <f>T16/100*20</f>
        <v>713898.39999999991</v>
      </c>
      <c r="AZ16" s="18">
        <v>14130</v>
      </c>
      <c r="BA16" s="18"/>
      <c r="BG16" s="443"/>
    </row>
    <row r="17" spans="1:59" s="46" customFormat="1" ht="26.25" hidden="1" customHeight="1">
      <c r="A17" s="45" t="s">
        <v>303</v>
      </c>
      <c r="B17" s="447" t="s">
        <v>304</v>
      </c>
      <c r="C17" s="45"/>
      <c r="D17" s="45"/>
      <c r="E17" s="45"/>
      <c r="F17" s="45"/>
      <c r="G17" s="45"/>
      <c r="H17" s="45"/>
      <c r="I17" s="45"/>
      <c r="J17" s="449"/>
      <c r="K17" s="448"/>
      <c r="L17" s="448"/>
      <c r="M17" s="448"/>
      <c r="N17" s="448"/>
      <c r="O17" s="448"/>
      <c r="P17" s="448"/>
      <c r="Q17" s="448"/>
      <c r="R17" s="448"/>
      <c r="S17" s="448"/>
      <c r="T17" s="448">
        <f>T18+T21+T22</f>
        <v>3569492</v>
      </c>
      <c r="U17" s="448"/>
      <c r="V17" s="448"/>
      <c r="W17" s="448"/>
      <c r="X17" s="448"/>
      <c r="Y17" s="448">
        <f>Y18+Y21+Y22</f>
        <v>627050</v>
      </c>
      <c r="Z17" s="448"/>
      <c r="AA17" s="448"/>
      <c r="AB17" s="448"/>
      <c r="AC17" s="448">
        <f>AC18+AC21+AC22</f>
        <v>538437</v>
      </c>
      <c r="AD17" s="448">
        <f>AD18+AD21+AD22</f>
        <v>0</v>
      </c>
      <c r="AE17" s="448">
        <f>AE18+AE21+AE22</f>
        <v>0</v>
      </c>
      <c r="AF17" s="448">
        <f>AF18+AF21+AF22</f>
        <v>0</v>
      </c>
      <c r="AG17" s="448">
        <f>AG18+AG21+AG22</f>
        <v>0</v>
      </c>
      <c r="AH17" s="448">
        <f t="shared" ref="AH17:AH75" si="1">X17+AB17</f>
        <v>0</v>
      </c>
      <c r="AI17" s="448">
        <f t="shared" ref="AI17:AI75" si="2">Y17+AC17</f>
        <v>1165487</v>
      </c>
      <c r="AJ17" s="448"/>
      <c r="AK17" s="448"/>
      <c r="AL17" s="448"/>
      <c r="AM17" s="448"/>
      <c r="AN17" s="448"/>
      <c r="AO17" s="448"/>
      <c r="AP17" s="448"/>
      <c r="AQ17" s="448">
        <f>AQ15-12000</f>
        <v>572536</v>
      </c>
      <c r="AR17" s="448"/>
      <c r="AS17" s="448"/>
      <c r="AT17" s="45">
        <f>AT18+AT21+AT22</f>
        <v>1053860</v>
      </c>
      <c r="AU17" s="18">
        <f t="shared" si="0"/>
        <v>-572536</v>
      </c>
      <c r="AV17" s="18"/>
      <c r="AW17" s="18"/>
      <c r="AX17" s="45"/>
      <c r="AY17" s="450">
        <f>AY16-AX16</f>
        <v>0</v>
      </c>
      <c r="AZ17" s="45"/>
      <c r="BA17" s="45"/>
      <c r="BG17" s="443"/>
    </row>
    <row r="18" spans="1:59" s="46" customFormat="1" ht="34.5" hidden="1" customHeight="1">
      <c r="A18" s="45" t="s">
        <v>305</v>
      </c>
      <c r="B18" s="451" t="s">
        <v>306</v>
      </c>
      <c r="C18" s="45"/>
      <c r="D18" s="45"/>
      <c r="E18" s="45"/>
      <c r="F18" s="45"/>
      <c r="G18" s="45"/>
      <c r="H18" s="45"/>
      <c r="I18" s="45"/>
      <c r="J18" s="449"/>
      <c r="K18" s="448"/>
      <c r="L18" s="448"/>
      <c r="M18" s="448"/>
      <c r="N18" s="448"/>
      <c r="O18" s="448"/>
      <c r="P18" s="448"/>
      <c r="Q18" s="448"/>
      <c r="R18" s="448"/>
      <c r="S18" s="448"/>
      <c r="T18" s="448">
        <f>T19+T20</f>
        <v>3309392</v>
      </c>
      <c r="U18" s="448"/>
      <c r="V18" s="448"/>
      <c r="W18" s="448"/>
      <c r="X18" s="448"/>
      <c r="Y18" s="448">
        <f>Y19+Y20</f>
        <v>602300</v>
      </c>
      <c r="Z18" s="448"/>
      <c r="AA18" s="448"/>
      <c r="AB18" s="448"/>
      <c r="AC18" s="448">
        <f>AC19+AC20</f>
        <v>510462</v>
      </c>
      <c r="AD18" s="448">
        <f>AD19+AD20</f>
        <v>0</v>
      </c>
      <c r="AE18" s="448">
        <f>AE19+AE20</f>
        <v>0</v>
      </c>
      <c r="AF18" s="448">
        <f>AF19+AF20</f>
        <v>0</v>
      </c>
      <c r="AG18" s="448">
        <f>AG19+AG20</f>
        <v>0</v>
      </c>
      <c r="AH18" s="448">
        <f t="shared" si="1"/>
        <v>0</v>
      </c>
      <c r="AI18" s="448">
        <f t="shared" si="2"/>
        <v>1112762</v>
      </c>
      <c r="AJ18" s="448"/>
      <c r="AK18" s="448"/>
      <c r="AL18" s="448"/>
      <c r="AM18" s="448"/>
      <c r="AN18" s="448"/>
      <c r="AO18" s="448"/>
      <c r="AP18" s="448"/>
      <c r="AQ18" s="448"/>
      <c r="AR18" s="448"/>
      <c r="AS18" s="448"/>
      <c r="AT18" s="45">
        <f>AT19+AT20</f>
        <v>976860</v>
      </c>
      <c r="AU18" s="18">
        <f t="shared" si="0"/>
        <v>0</v>
      </c>
      <c r="AV18" s="18"/>
      <c r="AW18" s="18"/>
      <c r="AX18" s="45"/>
      <c r="AY18" s="450"/>
      <c r="AZ18" s="45"/>
      <c r="BA18" s="45"/>
      <c r="BG18" s="443"/>
    </row>
    <row r="19" spans="1:59" s="457" customFormat="1" ht="36.75" hidden="1" customHeight="1">
      <c r="A19" s="452"/>
      <c r="B19" s="453" t="s">
        <v>307</v>
      </c>
      <c r="C19" s="452"/>
      <c r="D19" s="452"/>
      <c r="E19" s="452"/>
      <c r="F19" s="452"/>
      <c r="G19" s="452"/>
      <c r="H19" s="452"/>
      <c r="I19" s="452"/>
      <c r="J19" s="454"/>
      <c r="K19" s="455"/>
      <c r="L19" s="455"/>
      <c r="M19" s="455"/>
      <c r="N19" s="455"/>
      <c r="O19" s="455"/>
      <c r="P19" s="455"/>
      <c r="Q19" s="455"/>
      <c r="R19" s="455"/>
      <c r="S19" s="455"/>
      <c r="T19" s="455">
        <v>3309392</v>
      </c>
      <c r="U19" s="455"/>
      <c r="V19" s="455"/>
      <c r="W19" s="455"/>
      <c r="X19" s="455"/>
      <c r="Y19" s="455">
        <v>602300</v>
      </c>
      <c r="Z19" s="455"/>
      <c r="AA19" s="455"/>
      <c r="AB19" s="455"/>
      <c r="AC19" s="455">
        <v>488430</v>
      </c>
      <c r="AD19" s="455"/>
      <c r="AE19" s="455"/>
      <c r="AF19" s="455"/>
      <c r="AG19" s="455"/>
      <c r="AH19" s="448">
        <f t="shared" si="1"/>
        <v>0</v>
      </c>
      <c r="AI19" s="448">
        <f t="shared" si="2"/>
        <v>1090730</v>
      </c>
      <c r="AJ19" s="448"/>
      <c r="AK19" s="448"/>
      <c r="AL19" s="448"/>
      <c r="AM19" s="448"/>
      <c r="AN19" s="448"/>
      <c r="AO19" s="448"/>
      <c r="AP19" s="455"/>
      <c r="AQ19" s="455"/>
      <c r="AR19" s="455"/>
      <c r="AS19" s="455"/>
      <c r="AT19" s="452">
        <f>AC19</f>
        <v>488430</v>
      </c>
      <c r="AU19" s="18">
        <f t="shared" si="0"/>
        <v>0</v>
      </c>
      <c r="AV19" s="452">
        <f>AT19/100*110</f>
        <v>537273</v>
      </c>
      <c r="AW19" s="452">
        <f>AV19/100*110</f>
        <v>591000.29999999993</v>
      </c>
      <c r="AX19" s="452">
        <f>AW19/100*110</f>
        <v>650100.32999999996</v>
      </c>
      <c r="AY19" s="456">
        <f>Y19</f>
        <v>602300</v>
      </c>
      <c r="AZ19" s="452">
        <f>SUM(AT19:AY19)-84594</f>
        <v>2784509.63</v>
      </c>
      <c r="BA19" s="452"/>
      <c r="BG19" s="443"/>
    </row>
    <row r="20" spans="1:59" s="457" customFormat="1" ht="37.5" hidden="1" customHeight="1">
      <c r="A20" s="452"/>
      <c r="B20" s="453" t="s">
        <v>308</v>
      </c>
      <c r="C20" s="452"/>
      <c r="D20" s="452"/>
      <c r="E20" s="452"/>
      <c r="F20" s="452"/>
      <c r="G20" s="452"/>
      <c r="H20" s="452"/>
      <c r="I20" s="452"/>
      <c r="J20" s="454"/>
      <c r="K20" s="455"/>
      <c r="L20" s="455"/>
      <c r="M20" s="455"/>
      <c r="N20" s="455"/>
      <c r="O20" s="455"/>
      <c r="P20" s="455"/>
      <c r="Q20" s="455"/>
      <c r="R20" s="455"/>
      <c r="S20" s="455"/>
      <c r="T20" s="455"/>
      <c r="U20" s="455"/>
      <c r="V20" s="455"/>
      <c r="W20" s="455"/>
      <c r="X20" s="455"/>
      <c r="Y20" s="455"/>
      <c r="Z20" s="455"/>
      <c r="AA20" s="455"/>
      <c r="AB20" s="455"/>
      <c r="AC20" s="455">
        <v>22032</v>
      </c>
      <c r="AD20" s="455"/>
      <c r="AE20" s="455"/>
      <c r="AF20" s="455"/>
      <c r="AG20" s="455"/>
      <c r="AH20" s="448">
        <f t="shared" si="1"/>
        <v>0</v>
      </c>
      <c r="AI20" s="448">
        <f t="shared" si="2"/>
        <v>22032</v>
      </c>
      <c r="AJ20" s="448"/>
      <c r="AK20" s="448"/>
      <c r="AL20" s="448"/>
      <c r="AM20" s="448"/>
      <c r="AN20" s="448"/>
      <c r="AO20" s="448"/>
      <c r="AP20" s="455"/>
      <c r="AQ20" s="455"/>
      <c r="AR20" s="455"/>
      <c r="AS20" s="455"/>
      <c r="AT20" s="452">
        <v>488430</v>
      </c>
      <c r="AU20" s="18">
        <f t="shared" si="0"/>
        <v>0</v>
      </c>
      <c r="AV20" s="452">
        <f>AT20</f>
        <v>488430</v>
      </c>
      <c r="AW20" s="452">
        <f>AV20</f>
        <v>488430</v>
      </c>
      <c r="AX20" s="452">
        <f>AW20</f>
        <v>488430</v>
      </c>
      <c r="AY20" s="456">
        <f>AY19</f>
        <v>602300</v>
      </c>
      <c r="AZ20" s="452">
        <f>SUM(AT20:AY20)</f>
        <v>2556020</v>
      </c>
      <c r="BA20" s="452"/>
      <c r="BG20" s="443"/>
    </row>
    <row r="21" spans="1:59" s="19" customFormat="1" ht="31.5" hidden="1" customHeight="1">
      <c r="A21" s="18" t="s">
        <v>309</v>
      </c>
      <c r="B21" s="451" t="s">
        <v>310</v>
      </c>
      <c r="C21" s="18"/>
      <c r="D21" s="18"/>
      <c r="E21" s="18"/>
      <c r="F21" s="18"/>
      <c r="G21" s="18"/>
      <c r="H21" s="18"/>
      <c r="I21" s="18"/>
      <c r="J21" s="444"/>
      <c r="K21" s="445"/>
      <c r="L21" s="445"/>
      <c r="M21" s="445"/>
      <c r="N21" s="445"/>
      <c r="O21" s="445"/>
      <c r="P21" s="445"/>
      <c r="Q21" s="445"/>
      <c r="R21" s="445"/>
      <c r="S21" s="445"/>
      <c r="T21" s="445">
        <v>150300</v>
      </c>
      <c r="U21" s="445"/>
      <c r="V21" s="445"/>
      <c r="W21" s="445"/>
      <c r="X21" s="445"/>
      <c r="Y21" s="445">
        <v>13750</v>
      </c>
      <c r="Z21" s="445"/>
      <c r="AA21" s="445"/>
      <c r="AB21" s="445"/>
      <c r="AC21" s="445">
        <v>10975</v>
      </c>
      <c r="AD21" s="445"/>
      <c r="AE21" s="445"/>
      <c r="AF21" s="445"/>
      <c r="AG21" s="445"/>
      <c r="AH21" s="448">
        <f t="shared" si="1"/>
        <v>0</v>
      </c>
      <c r="AI21" s="448">
        <f t="shared" si="2"/>
        <v>24725</v>
      </c>
      <c r="AJ21" s="448"/>
      <c r="AK21" s="448"/>
      <c r="AL21" s="448"/>
      <c r="AM21" s="448"/>
      <c r="AN21" s="448"/>
      <c r="AO21" s="448"/>
      <c r="AP21" s="445"/>
      <c r="AQ21" s="445"/>
      <c r="AR21" s="445"/>
      <c r="AS21" s="445"/>
      <c r="AT21" s="18">
        <v>60000</v>
      </c>
      <c r="AU21" s="18">
        <f t="shared" si="0"/>
        <v>0</v>
      </c>
      <c r="AV21" s="18"/>
      <c r="AW21" s="18"/>
      <c r="AX21" s="18"/>
      <c r="AY21" s="446"/>
      <c r="AZ21" s="18">
        <v>2582193</v>
      </c>
      <c r="BA21" s="18"/>
      <c r="BG21" s="443"/>
    </row>
    <row r="22" spans="1:59" s="19" customFormat="1" ht="26.25" hidden="1" customHeight="1">
      <c r="A22" s="18" t="s">
        <v>311</v>
      </c>
      <c r="B22" s="451" t="s">
        <v>312</v>
      </c>
      <c r="C22" s="18"/>
      <c r="D22" s="18"/>
      <c r="E22" s="18"/>
      <c r="F22" s="18"/>
      <c r="G22" s="18"/>
      <c r="H22" s="18"/>
      <c r="I22" s="18"/>
      <c r="J22" s="444"/>
      <c r="K22" s="445"/>
      <c r="L22" s="445"/>
      <c r="M22" s="445"/>
      <c r="N22" s="445"/>
      <c r="O22" s="445"/>
      <c r="P22" s="445"/>
      <c r="Q22" s="445"/>
      <c r="R22" s="445"/>
      <c r="S22" s="445"/>
      <c r="T22" s="445">
        <v>109800</v>
      </c>
      <c r="U22" s="445"/>
      <c r="V22" s="445"/>
      <c r="W22" s="445"/>
      <c r="X22" s="445"/>
      <c r="Y22" s="445">
        <v>11000</v>
      </c>
      <c r="Z22" s="445"/>
      <c r="AA22" s="445"/>
      <c r="AB22" s="445"/>
      <c r="AC22" s="445">
        <v>17000</v>
      </c>
      <c r="AD22" s="445"/>
      <c r="AE22" s="445"/>
      <c r="AF22" s="445"/>
      <c r="AG22" s="445"/>
      <c r="AH22" s="448">
        <f t="shared" si="1"/>
        <v>0</v>
      </c>
      <c r="AI22" s="448">
        <f t="shared" si="2"/>
        <v>28000</v>
      </c>
      <c r="AJ22" s="448"/>
      <c r="AK22" s="448"/>
      <c r="AL22" s="448"/>
      <c r="AM22" s="448"/>
      <c r="AN22" s="448"/>
      <c r="AO22" s="448"/>
      <c r="AP22" s="445"/>
      <c r="AQ22" s="445"/>
      <c r="AR22" s="445"/>
      <c r="AS22" s="445"/>
      <c r="AT22" s="458">
        <v>17000</v>
      </c>
      <c r="AU22" s="18">
        <f t="shared" si="0"/>
        <v>0</v>
      </c>
      <c r="AV22" s="458"/>
      <c r="AW22" s="458"/>
      <c r="AX22" s="18"/>
      <c r="AY22" s="446"/>
      <c r="AZ22" s="18">
        <f>AZ21-AZ20</f>
        <v>26173</v>
      </c>
      <c r="BA22" s="18"/>
      <c r="BG22" s="443"/>
    </row>
    <row r="23" spans="1:59" s="46" customFormat="1" ht="54.75" hidden="1" customHeight="1">
      <c r="A23" s="45" t="s">
        <v>313</v>
      </c>
      <c r="B23" s="447" t="s">
        <v>314</v>
      </c>
      <c r="C23" s="45"/>
      <c r="D23" s="45"/>
      <c r="E23" s="45"/>
      <c r="F23" s="45"/>
      <c r="G23" s="45"/>
      <c r="H23" s="45"/>
      <c r="I23" s="45"/>
      <c r="J23" s="449"/>
      <c r="K23" s="448"/>
      <c r="L23" s="448"/>
      <c r="M23" s="448"/>
      <c r="N23" s="448" t="s">
        <v>315</v>
      </c>
      <c r="O23" s="448"/>
      <c r="P23" s="448"/>
      <c r="Q23" s="448"/>
      <c r="R23" s="448"/>
      <c r="S23" s="448"/>
      <c r="T23" s="448"/>
      <c r="U23" s="448"/>
      <c r="V23" s="448"/>
      <c r="W23" s="448"/>
      <c r="X23" s="448"/>
      <c r="Y23" s="448"/>
      <c r="Z23" s="448"/>
      <c r="AA23" s="448"/>
      <c r="AB23" s="448"/>
      <c r="AC23" s="448">
        <f>AC24+AC25+AC26</f>
        <v>152068</v>
      </c>
      <c r="AD23" s="448"/>
      <c r="AE23" s="448"/>
      <c r="AF23" s="448"/>
      <c r="AG23" s="448"/>
      <c r="AH23" s="448">
        <f t="shared" si="1"/>
        <v>0</v>
      </c>
      <c r="AI23" s="448">
        <f t="shared" si="2"/>
        <v>152068</v>
      </c>
      <c r="AJ23" s="448"/>
      <c r="AK23" s="448"/>
      <c r="AL23" s="448"/>
      <c r="AM23" s="448"/>
      <c r="AN23" s="448"/>
      <c r="AO23" s="448"/>
      <c r="AP23" s="448"/>
      <c r="AQ23" s="448"/>
      <c r="AR23" s="448"/>
      <c r="AS23" s="448"/>
      <c r="AT23" s="458" t="s">
        <v>316</v>
      </c>
      <c r="AU23" s="18">
        <f t="shared" si="0"/>
        <v>0</v>
      </c>
      <c r="AV23" s="458"/>
      <c r="AW23" s="458"/>
      <c r="AX23" s="45"/>
      <c r="AY23" s="450"/>
      <c r="AZ23" s="45"/>
      <c r="BA23" s="45"/>
      <c r="BG23" s="443"/>
    </row>
    <row r="24" spans="1:59" s="19" customFormat="1" ht="31.5" hidden="1" customHeight="1">
      <c r="A24" s="18">
        <v>1</v>
      </c>
      <c r="B24" s="451" t="s">
        <v>317</v>
      </c>
      <c r="C24" s="18"/>
      <c r="D24" s="18"/>
      <c r="E24" s="18"/>
      <c r="F24" s="18"/>
      <c r="G24" s="18"/>
      <c r="H24" s="18"/>
      <c r="I24" s="18"/>
      <c r="J24" s="444"/>
      <c r="K24" s="445"/>
      <c r="L24" s="445"/>
      <c r="M24" s="445"/>
      <c r="N24" s="445"/>
      <c r="O24" s="445"/>
      <c r="P24" s="445"/>
      <c r="Q24" s="445"/>
      <c r="R24" s="445"/>
      <c r="S24" s="445"/>
      <c r="T24" s="445"/>
      <c r="U24" s="445"/>
      <c r="V24" s="445"/>
      <c r="W24" s="445"/>
      <c r="X24" s="445"/>
      <c r="Y24" s="445"/>
      <c r="Z24" s="445"/>
      <c r="AA24" s="445"/>
      <c r="AB24" s="445"/>
      <c r="AC24" s="445">
        <v>174100</v>
      </c>
      <c r="AD24" s="445"/>
      <c r="AE24" s="445"/>
      <c r="AF24" s="445"/>
      <c r="AG24" s="445"/>
      <c r="AH24" s="448">
        <f t="shared" si="1"/>
        <v>0</v>
      </c>
      <c r="AI24" s="448">
        <f t="shared" si="2"/>
        <v>174100</v>
      </c>
      <c r="AJ24" s="448"/>
      <c r="AK24" s="448"/>
      <c r="AL24" s="448"/>
      <c r="AM24" s="448"/>
      <c r="AN24" s="448"/>
      <c r="AO24" s="448"/>
      <c r="AP24" s="445"/>
      <c r="AQ24" s="445"/>
      <c r="AR24" s="445"/>
      <c r="AS24" s="445"/>
      <c r="AT24" s="18"/>
      <c r="AU24" s="18">
        <f t="shared" si="0"/>
        <v>0</v>
      </c>
      <c r="AV24" s="18"/>
      <c r="AW24" s="18"/>
      <c r="AX24" s="18"/>
      <c r="AY24" s="446"/>
      <c r="AZ24" s="18"/>
      <c r="BA24" s="18"/>
      <c r="BG24" s="443"/>
    </row>
    <row r="25" spans="1:59" s="19" customFormat="1" ht="31.5" hidden="1" customHeight="1">
      <c r="A25" s="18">
        <v>2</v>
      </c>
      <c r="B25" s="459" t="s">
        <v>318</v>
      </c>
      <c r="C25" s="18"/>
      <c r="D25" s="18"/>
      <c r="E25" s="18"/>
      <c r="F25" s="18"/>
      <c r="G25" s="18"/>
      <c r="H25" s="18"/>
      <c r="I25" s="18"/>
      <c r="J25" s="444"/>
      <c r="K25" s="445"/>
      <c r="L25" s="445"/>
      <c r="M25" s="445"/>
      <c r="N25" s="445"/>
      <c r="O25" s="445"/>
      <c r="P25" s="445"/>
      <c r="Q25" s="445"/>
      <c r="R25" s="445"/>
      <c r="S25" s="445"/>
      <c r="T25" s="445"/>
      <c r="U25" s="445"/>
      <c r="V25" s="445"/>
      <c r="W25" s="445"/>
      <c r="X25" s="445"/>
      <c r="Y25" s="445"/>
      <c r="Z25" s="445"/>
      <c r="AA25" s="445"/>
      <c r="AB25" s="445"/>
      <c r="AC25" s="445">
        <v>20390</v>
      </c>
      <c r="AD25" s="445"/>
      <c r="AE25" s="445"/>
      <c r="AF25" s="445"/>
      <c r="AG25" s="445"/>
      <c r="AH25" s="448">
        <f t="shared" si="1"/>
        <v>0</v>
      </c>
      <c r="AI25" s="448">
        <f t="shared" si="2"/>
        <v>20390</v>
      </c>
      <c r="AJ25" s="448"/>
      <c r="AK25" s="448"/>
      <c r="AL25" s="448"/>
      <c r="AM25" s="448"/>
      <c r="AN25" s="448"/>
      <c r="AO25" s="448"/>
      <c r="AP25" s="445"/>
      <c r="AQ25" s="445"/>
      <c r="AR25" s="445"/>
      <c r="AS25" s="445"/>
      <c r="AT25" s="18"/>
      <c r="AU25" s="18">
        <f t="shared" si="0"/>
        <v>0</v>
      </c>
      <c r="AV25" s="18"/>
      <c r="AW25" s="18"/>
      <c r="AX25" s="18"/>
      <c r="AY25" s="446"/>
      <c r="AZ25" s="18"/>
      <c r="BA25" s="18"/>
      <c r="BG25" s="443"/>
    </row>
    <row r="26" spans="1:59" s="19" customFormat="1" ht="38.25" hidden="1" customHeight="1">
      <c r="A26" s="18">
        <v>3</v>
      </c>
      <c r="B26" s="451" t="s">
        <v>319</v>
      </c>
      <c r="C26" s="18"/>
      <c r="D26" s="18"/>
      <c r="E26" s="18"/>
      <c r="F26" s="18"/>
      <c r="G26" s="18"/>
      <c r="H26" s="18"/>
      <c r="I26" s="18"/>
      <c r="J26" s="444"/>
      <c r="K26" s="445"/>
      <c r="L26" s="445"/>
      <c r="M26" s="445"/>
      <c r="N26" s="445"/>
      <c r="O26" s="445"/>
      <c r="P26" s="445"/>
      <c r="Q26" s="445"/>
      <c r="R26" s="445"/>
      <c r="S26" s="445"/>
      <c r="T26" s="445"/>
      <c r="U26" s="445"/>
      <c r="V26" s="445"/>
      <c r="W26" s="445"/>
      <c r="X26" s="445"/>
      <c r="Y26" s="445"/>
      <c r="Z26" s="445"/>
      <c r="AA26" s="445"/>
      <c r="AB26" s="445"/>
      <c r="AC26" s="445">
        <f>-22032-20390</f>
        <v>-42422</v>
      </c>
      <c r="AD26" s="445">
        <f>AC18+AC21+AC22</f>
        <v>538437</v>
      </c>
      <c r="AE26" s="445">
        <f>AD26-AC28</f>
        <v>157719.30674000003</v>
      </c>
      <c r="AF26" s="445"/>
      <c r="AG26" s="445"/>
      <c r="AH26" s="448">
        <f t="shared" si="1"/>
        <v>0</v>
      </c>
      <c r="AI26" s="448">
        <f t="shared" si="2"/>
        <v>-42422</v>
      </c>
      <c r="AJ26" s="448"/>
      <c r="AK26" s="448"/>
      <c r="AL26" s="448"/>
      <c r="AM26" s="448"/>
      <c r="AN26" s="448"/>
      <c r="AO26" s="448"/>
      <c r="AP26" s="445"/>
      <c r="AQ26" s="445"/>
      <c r="AR26" s="445"/>
      <c r="AS26" s="445"/>
      <c r="AT26" s="18"/>
      <c r="AU26" s="18">
        <f t="shared" si="0"/>
        <v>0</v>
      </c>
      <c r="AV26" s="18"/>
      <c r="AW26" s="18"/>
      <c r="AX26" s="18"/>
      <c r="AY26" s="446"/>
      <c r="AZ26" s="18"/>
      <c r="BA26" s="18"/>
      <c r="BG26" s="443"/>
    </row>
    <row r="27" spans="1:59" s="46" customFormat="1" ht="26.25" hidden="1" customHeight="1">
      <c r="A27" s="45"/>
      <c r="B27" s="447"/>
      <c r="C27" s="45"/>
      <c r="D27" s="45"/>
      <c r="E27" s="45"/>
      <c r="F27" s="45"/>
      <c r="G27" s="45"/>
      <c r="H27" s="45"/>
      <c r="I27" s="45"/>
      <c r="J27" s="449"/>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f t="shared" si="1"/>
        <v>0</v>
      </c>
      <c r="AI27" s="448">
        <f t="shared" si="2"/>
        <v>0</v>
      </c>
      <c r="AJ27" s="448"/>
      <c r="AK27" s="448"/>
      <c r="AL27" s="448"/>
      <c r="AM27" s="448"/>
      <c r="AN27" s="448"/>
      <c r="AO27" s="448"/>
      <c r="AP27" s="448"/>
      <c r="AQ27" s="448"/>
      <c r="AR27" s="448"/>
      <c r="AS27" s="448"/>
      <c r="AT27" s="458"/>
      <c r="AU27" s="18">
        <f t="shared" si="0"/>
        <v>0</v>
      </c>
      <c r="AV27" s="458"/>
      <c r="AW27" s="458"/>
      <c r="AX27" s="45"/>
      <c r="AY27" s="450"/>
      <c r="AZ27" s="45"/>
      <c r="BA27" s="45"/>
      <c r="BG27" s="443"/>
    </row>
    <row r="28" spans="1:59" s="46" customFormat="1" ht="26.25" hidden="1" customHeight="1">
      <c r="A28" s="45" t="s">
        <v>82</v>
      </c>
      <c r="B28" s="447" t="s">
        <v>320</v>
      </c>
      <c r="C28" s="45"/>
      <c r="D28" s="45"/>
      <c r="E28" s="45"/>
      <c r="F28" s="45"/>
      <c r="G28" s="45"/>
      <c r="H28" s="45"/>
      <c r="I28" s="45"/>
      <c r="J28" s="449"/>
      <c r="K28" s="448">
        <f t="shared" ref="K28:P28" si="3">K30+K481</f>
        <v>8922940.6993880011</v>
      </c>
      <c r="L28" s="448">
        <f t="shared" si="3"/>
        <v>2603085.1723489999</v>
      </c>
      <c r="M28" s="448">
        <f t="shared" si="3"/>
        <v>1771246.1459999999</v>
      </c>
      <c r="N28" s="448">
        <f t="shared" si="3"/>
        <v>189042</v>
      </c>
      <c r="O28" s="448">
        <f t="shared" si="3"/>
        <v>840416.45600000001</v>
      </c>
      <c r="P28" s="448">
        <f t="shared" si="3"/>
        <v>243619</v>
      </c>
      <c r="Q28" s="448"/>
      <c r="R28" s="448"/>
      <c r="S28" s="448">
        <f>S30+S481</f>
        <v>4315047.448388</v>
      </c>
      <c r="T28" s="448">
        <f>T30+T481</f>
        <v>2701836.3723490001</v>
      </c>
      <c r="U28" s="448">
        <f>U30+U481</f>
        <v>10993</v>
      </c>
      <c r="V28" s="448">
        <f>V30+V481</f>
        <v>14529</v>
      </c>
      <c r="W28" s="448"/>
      <c r="X28" s="448">
        <f t="shared" ref="X28:AG28" si="4">X30+X481</f>
        <v>382823.1</v>
      </c>
      <c r="Y28" s="448">
        <f t="shared" si="4"/>
        <v>259417.7</v>
      </c>
      <c r="Z28" s="448">
        <f t="shared" si="4"/>
        <v>0</v>
      </c>
      <c r="AA28" s="448">
        <f t="shared" si="4"/>
        <v>13371</v>
      </c>
      <c r="AB28" s="448">
        <f t="shared" si="4"/>
        <v>667915.69326000009</v>
      </c>
      <c r="AC28" s="448">
        <f t="shared" si="4"/>
        <v>380717.69325999997</v>
      </c>
      <c r="AD28" s="448">
        <f t="shared" si="4"/>
        <v>11847.79326</v>
      </c>
      <c r="AE28" s="448">
        <f t="shared" si="4"/>
        <v>397</v>
      </c>
      <c r="AF28" s="448">
        <f t="shared" si="4"/>
        <v>0</v>
      </c>
      <c r="AG28" s="448">
        <f t="shared" si="4"/>
        <v>0</v>
      </c>
      <c r="AH28" s="448">
        <f t="shared" si="1"/>
        <v>1050738.7932600002</v>
      </c>
      <c r="AI28" s="448">
        <f t="shared" si="2"/>
        <v>640135.39326000004</v>
      </c>
      <c r="AJ28" s="448"/>
      <c r="AK28" s="448"/>
      <c r="AL28" s="448"/>
      <c r="AM28" s="448"/>
      <c r="AN28" s="448"/>
      <c r="AO28" s="448"/>
      <c r="AP28" s="448"/>
      <c r="AQ28" s="448"/>
      <c r="AR28" s="448"/>
      <c r="AS28" s="448"/>
      <c r="AT28" s="18"/>
      <c r="AU28" s="18">
        <f t="shared" si="0"/>
        <v>0</v>
      </c>
      <c r="AV28" s="18">
        <f t="shared" ref="AV28:AV40" si="5">V28-AA28</f>
        <v>1158</v>
      </c>
      <c r="AW28" s="18">
        <f>SUM(AW41:AW506)</f>
        <v>43332</v>
      </c>
      <c r="AX28" s="18">
        <f>SUM(AX41:AX506)</f>
        <v>468150.10000000003</v>
      </c>
      <c r="AY28" s="450"/>
      <c r="AZ28" s="45"/>
      <c r="BA28" s="45"/>
      <c r="BG28" s="443"/>
    </row>
    <row r="29" spans="1:59" s="46" customFormat="1" ht="26.25" hidden="1" customHeight="1">
      <c r="A29" s="45"/>
      <c r="B29" s="447" t="s">
        <v>321</v>
      </c>
      <c r="C29" s="45"/>
      <c r="D29" s="45"/>
      <c r="E29" s="45"/>
      <c r="F29" s="45"/>
      <c r="G29" s="45"/>
      <c r="H29" s="45"/>
      <c r="I29" s="45"/>
      <c r="J29" s="449"/>
      <c r="K29" s="448"/>
      <c r="L29" s="448"/>
      <c r="M29" s="448"/>
      <c r="N29" s="448"/>
      <c r="O29" s="448"/>
      <c r="P29" s="448"/>
      <c r="Q29" s="448"/>
      <c r="R29" s="448"/>
      <c r="S29" s="448"/>
      <c r="T29" s="448"/>
      <c r="U29" s="448"/>
      <c r="V29" s="448"/>
      <c r="W29" s="448"/>
      <c r="X29" s="448"/>
      <c r="Y29" s="448">
        <v>126000</v>
      </c>
      <c r="Z29" s="448"/>
      <c r="AA29" s="448"/>
      <c r="AB29" s="448"/>
      <c r="AC29" s="448">
        <v>108000</v>
      </c>
      <c r="AD29" s="448"/>
      <c r="AE29" s="448"/>
      <c r="AF29" s="448"/>
      <c r="AG29" s="448"/>
      <c r="AH29" s="448">
        <f t="shared" si="1"/>
        <v>0</v>
      </c>
      <c r="AI29" s="448">
        <f t="shared" si="2"/>
        <v>234000</v>
      </c>
      <c r="AJ29" s="448"/>
      <c r="AK29" s="448"/>
      <c r="AL29" s="448"/>
      <c r="AM29" s="448"/>
      <c r="AN29" s="448"/>
      <c r="AO29" s="448"/>
      <c r="AP29" s="448"/>
      <c r="AQ29" s="448"/>
      <c r="AR29" s="448"/>
      <c r="AS29" s="448"/>
      <c r="AT29" s="18"/>
      <c r="AU29" s="18">
        <f t="shared" si="0"/>
        <v>0</v>
      </c>
      <c r="AV29" s="18">
        <f t="shared" si="5"/>
        <v>0</v>
      </c>
      <c r="AW29" s="18"/>
      <c r="AX29" s="18"/>
      <c r="AY29" s="450"/>
      <c r="AZ29" s="45"/>
      <c r="BA29" s="45"/>
      <c r="BG29" s="443"/>
    </row>
    <row r="30" spans="1:59" s="25" customFormat="1" ht="55.5" hidden="1" customHeight="1">
      <c r="A30" s="21" t="s">
        <v>322</v>
      </c>
      <c r="B30" s="22" t="s">
        <v>323</v>
      </c>
      <c r="C30" s="23"/>
      <c r="D30" s="23"/>
      <c r="E30" s="23"/>
      <c r="F30" s="23"/>
      <c r="G30" s="23"/>
      <c r="H30" s="460"/>
      <c r="I30" s="23"/>
      <c r="J30" s="461"/>
      <c r="K30" s="448">
        <f t="shared" ref="K30:P30" si="6">K60+K86+K116+K139+K172+K196+K221+K250+K277+K304+K312+K342+K349+K393+K435+K463+K466</f>
        <v>8838997.6993880011</v>
      </c>
      <c r="L30" s="448">
        <f t="shared" si="6"/>
        <v>2564142.1723489999</v>
      </c>
      <c r="M30" s="448">
        <f t="shared" si="6"/>
        <v>1771246.1459999999</v>
      </c>
      <c r="N30" s="448">
        <f t="shared" si="6"/>
        <v>189042</v>
      </c>
      <c r="O30" s="448">
        <f t="shared" si="6"/>
        <v>840416.45600000001</v>
      </c>
      <c r="P30" s="448">
        <f t="shared" si="6"/>
        <v>243619</v>
      </c>
      <c r="Q30" s="448"/>
      <c r="R30" s="448"/>
      <c r="S30" s="448">
        <f>S60+S86+S116+S139+S172+S196+S221+S250+S277+S304+S312+S342+S349+S393+S435+S463+S466</f>
        <v>4197049.448388</v>
      </c>
      <c r="T30" s="448">
        <f>T60+T86+T116+T139+T172+T196+T221+T250+T277+T304+T312+T342+T349+T393+T435+T463+T466</f>
        <v>2606588.3723490001</v>
      </c>
      <c r="U30" s="448">
        <f>U60+U86+U116+U139+U172+U196+U221+U250+U277+U304+U312+U342+U349+U393+U435+U463+U466</f>
        <v>10993</v>
      </c>
      <c r="V30" s="448">
        <f>V60+V86+V116+V139+V172+V196+V221+V250+V277+V304+V312+V342+V349+V393+V435+V463+V466</f>
        <v>14529</v>
      </c>
      <c r="W30" s="448"/>
      <c r="X30" s="448">
        <f>X60+X86+X116+X139+X172+X196+X221+X250+X277+X304+X312+X342+X349+X393+X435+X463+X466</f>
        <v>382823.1</v>
      </c>
      <c r="Y30" s="448">
        <f>Y60+Y86+Y116+Y139+Y172+Y196+Y221+Y250+Y277+Y304+Y312+Y342+Y349+Y393+Y435+Y463+Y466-2580</f>
        <v>259417.7</v>
      </c>
      <c r="Z30" s="448">
        <f t="shared" ref="Z30:AE30" si="7">Z60+Z86+Z116+Z139+Z172+Z196+Z221+Z250+Z277+Z304+Z312+Z342+Z349+Z393+Z435+Z463+Z466</f>
        <v>0</v>
      </c>
      <c r="AA30" s="448">
        <f t="shared" si="7"/>
        <v>13371</v>
      </c>
      <c r="AB30" s="448">
        <f t="shared" si="7"/>
        <v>667915.69326000009</v>
      </c>
      <c r="AC30" s="448">
        <f t="shared" si="7"/>
        <v>380717.69325999997</v>
      </c>
      <c r="AD30" s="448">
        <f t="shared" si="7"/>
        <v>11847.79326</v>
      </c>
      <c r="AE30" s="448">
        <f t="shared" si="7"/>
        <v>397</v>
      </c>
      <c r="AF30" s="448"/>
      <c r="AG30" s="448"/>
      <c r="AH30" s="448">
        <f t="shared" si="1"/>
        <v>1050738.7932600002</v>
      </c>
      <c r="AI30" s="448">
        <f t="shared" si="2"/>
        <v>640135.39326000004</v>
      </c>
      <c r="AJ30" s="448"/>
      <c r="AK30" s="448"/>
      <c r="AL30" s="448"/>
      <c r="AM30" s="448"/>
      <c r="AN30" s="448"/>
      <c r="AO30" s="448"/>
      <c r="AP30" s="448"/>
      <c r="AQ30" s="448"/>
      <c r="AR30" s="448"/>
      <c r="AS30" s="448"/>
      <c r="AT30" s="45"/>
      <c r="AU30" s="18">
        <f t="shared" si="0"/>
        <v>0</v>
      </c>
      <c r="AV30" s="18">
        <f t="shared" si="5"/>
        <v>1158</v>
      </c>
      <c r="AW30" s="45"/>
      <c r="AX30" s="24"/>
      <c r="AY30" s="462"/>
      <c r="AZ30" s="24"/>
      <c r="BA30" s="24"/>
      <c r="BG30" s="443"/>
    </row>
    <row r="31" spans="1:59" s="25" customFormat="1" ht="18.75" hidden="1">
      <c r="A31" s="21"/>
      <c r="B31" s="22"/>
      <c r="C31" s="23"/>
      <c r="D31" s="23"/>
      <c r="E31" s="23"/>
      <c r="F31" s="23"/>
      <c r="G31" s="23"/>
      <c r="H31" s="23"/>
      <c r="I31" s="23"/>
      <c r="J31" s="461"/>
      <c r="K31" s="448"/>
      <c r="L31" s="448"/>
      <c r="M31" s="448"/>
      <c r="N31" s="448"/>
      <c r="O31" s="448"/>
      <c r="P31" s="448"/>
      <c r="Q31" s="448"/>
      <c r="R31" s="448"/>
      <c r="S31" s="448"/>
      <c r="T31" s="448">
        <v>3399692.1007969999</v>
      </c>
      <c r="U31" s="448">
        <v>169799.89920300012</v>
      </c>
      <c r="V31" s="448"/>
      <c r="W31" s="448"/>
      <c r="X31" s="448"/>
      <c r="Y31" s="448">
        <v>618630.55650832993</v>
      </c>
      <c r="Z31" s="448">
        <v>24731.3</v>
      </c>
      <c r="AA31" s="448">
        <v>219248.52</v>
      </c>
      <c r="AB31" s="448">
        <v>800685.25575700006</v>
      </c>
      <c r="AC31" s="448">
        <v>506437.25575700001</v>
      </c>
      <c r="AD31" s="448">
        <v>23670.793259999999</v>
      </c>
      <c r="AE31" s="448">
        <v>26722.310333333335</v>
      </c>
      <c r="AF31" s="448"/>
      <c r="AG31" s="448"/>
      <c r="AH31" s="448">
        <f t="shared" si="1"/>
        <v>800685.25575700006</v>
      </c>
      <c r="AI31" s="448">
        <f t="shared" si="2"/>
        <v>1125067.81226533</v>
      </c>
      <c r="AJ31" s="448"/>
      <c r="AK31" s="448"/>
      <c r="AL31" s="448"/>
      <c r="AM31" s="448"/>
      <c r="AN31" s="448"/>
      <c r="AO31" s="448"/>
      <c r="AP31" s="448"/>
      <c r="AQ31" s="448"/>
      <c r="AR31" s="448"/>
      <c r="AS31" s="448"/>
      <c r="AT31" s="45">
        <f>AC17-AC31</f>
        <v>31999.744242999994</v>
      </c>
      <c r="AU31" s="18">
        <f t="shared" si="0"/>
        <v>0</v>
      </c>
      <c r="AV31" s="18">
        <f t="shared" si="5"/>
        <v>-219248.52</v>
      </c>
      <c r="AW31" s="45"/>
      <c r="AX31" s="24"/>
      <c r="AY31" s="59"/>
      <c r="AZ31" s="59"/>
      <c r="BA31" s="59"/>
      <c r="BG31" s="443"/>
    </row>
    <row r="32" spans="1:59" s="25" customFormat="1" ht="28.5" hidden="1" customHeight="1">
      <c r="A32" s="21" t="s">
        <v>32</v>
      </c>
      <c r="B32" s="22" t="s">
        <v>170</v>
      </c>
      <c r="C32" s="23"/>
      <c r="D32" s="23"/>
      <c r="E32" s="23"/>
      <c r="F32" s="23"/>
      <c r="G32" s="23"/>
      <c r="H32" s="460"/>
      <c r="I32" s="23"/>
      <c r="J32" s="461"/>
      <c r="K32" s="448"/>
      <c r="L32" s="448"/>
      <c r="M32" s="448"/>
      <c r="N32" s="448"/>
      <c r="O32" s="448"/>
      <c r="P32" s="448"/>
      <c r="Q32" s="448"/>
      <c r="R32" s="448"/>
      <c r="S32" s="448">
        <v>4900697.9007970002</v>
      </c>
      <c r="T32" s="448">
        <v>2845795.5713</v>
      </c>
      <c r="U32" s="448">
        <v>83.707450172703929</v>
      </c>
      <c r="V32" s="448"/>
      <c r="W32" s="448"/>
      <c r="X32" s="448"/>
      <c r="Y32" s="448">
        <v>497526.74829999998</v>
      </c>
      <c r="Z32" s="448">
        <v>24731.3</v>
      </c>
      <c r="AA32" s="448">
        <v>215143.52</v>
      </c>
      <c r="AB32" s="448">
        <v>742388.88626000006</v>
      </c>
      <c r="AC32" s="448">
        <v>454236.88626</v>
      </c>
      <c r="AD32" s="448">
        <v>17670.793259999999</v>
      </c>
      <c r="AE32" s="448">
        <v>26722.310333333335</v>
      </c>
      <c r="AF32" s="448"/>
      <c r="AG32" s="448"/>
      <c r="AH32" s="448">
        <f t="shared" si="1"/>
        <v>742388.88626000006</v>
      </c>
      <c r="AI32" s="448">
        <f t="shared" si="2"/>
        <v>951763.63455999992</v>
      </c>
      <c r="AJ32" s="448"/>
      <c r="AK32" s="448"/>
      <c r="AL32" s="448"/>
      <c r="AM32" s="448"/>
      <c r="AN32" s="448"/>
      <c r="AO32" s="448"/>
      <c r="AP32" s="448"/>
      <c r="AQ32" s="448"/>
      <c r="AR32" s="448"/>
      <c r="AS32" s="448"/>
      <c r="AT32" s="463">
        <f>AC32/AC31*100</f>
        <v>89.692628473990681</v>
      </c>
      <c r="AU32" s="18">
        <f t="shared" si="0"/>
        <v>0</v>
      </c>
      <c r="AV32" s="18">
        <f t="shared" si="5"/>
        <v>-215143.52</v>
      </c>
      <c r="AW32" s="45"/>
      <c r="AX32" s="24"/>
      <c r="AY32" s="59"/>
      <c r="AZ32" s="59"/>
      <c r="BA32" s="59"/>
      <c r="BG32" s="443"/>
    </row>
    <row r="33" spans="1:61" s="25" customFormat="1" ht="40.5" hidden="1" customHeight="1">
      <c r="A33" s="21" t="s">
        <v>37</v>
      </c>
      <c r="B33" s="26" t="s">
        <v>324</v>
      </c>
      <c r="C33" s="23"/>
      <c r="D33" s="23"/>
      <c r="E33" s="23"/>
      <c r="F33" s="23"/>
      <c r="G33" s="23"/>
      <c r="H33" s="464" t="e">
        <f>H34+H35</f>
        <v>#REF!</v>
      </c>
      <c r="I33" s="23"/>
      <c r="J33" s="461"/>
      <c r="K33" s="448"/>
      <c r="L33" s="448"/>
      <c r="M33" s="448"/>
      <c r="N33" s="448">
        <v>573672</v>
      </c>
      <c r="O33" s="448">
        <v>3011019.6359999999</v>
      </c>
      <c r="P33" s="448">
        <v>799116</v>
      </c>
      <c r="Q33" s="448"/>
      <c r="R33" s="448"/>
      <c r="S33" s="448">
        <v>1546534.9613000001</v>
      </c>
      <c r="T33" s="448">
        <v>918726.86129999999</v>
      </c>
      <c r="U33" s="448">
        <v>27.023825513040435</v>
      </c>
      <c r="V33" s="448">
        <v>292486.98800000001</v>
      </c>
      <c r="W33" s="448"/>
      <c r="X33" s="448">
        <v>567780.6483</v>
      </c>
      <c r="Y33" s="448">
        <v>436373.6483</v>
      </c>
      <c r="Z33" s="448">
        <v>24731.3</v>
      </c>
      <c r="AA33" s="448">
        <v>215143.52</v>
      </c>
      <c r="AB33" s="448">
        <v>344304.88626</v>
      </c>
      <c r="AC33" s="448">
        <v>206583.88626</v>
      </c>
      <c r="AD33" s="448">
        <v>14170.79326</v>
      </c>
      <c r="AE33" s="448">
        <v>26688.977000000003</v>
      </c>
      <c r="AF33" s="448"/>
      <c r="AG33" s="448"/>
      <c r="AH33" s="448">
        <f t="shared" si="1"/>
        <v>912085.53456000006</v>
      </c>
      <c r="AI33" s="448">
        <f t="shared" si="2"/>
        <v>642957.53456000006</v>
      </c>
      <c r="AJ33" s="448"/>
      <c r="AK33" s="448"/>
      <c r="AL33" s="448"/>
      <c r="AM33" s="448"/>
      <c r="AN33" s="448"/>
      <c r="AO33" s="448"/>
      <c r="AP33" s="448"/>
      <c r="AQ33" s="448"/>
      <c r="AR33" s="448"/>
      <c r="AS33" s="448"/>
      <c r="AT33" s="463">
        <f>AC33/AC31*100</f>
        <v>40.791605260400431</v>
      </c>
      <c r="AU33" s="18">
        <f t="shared" si="0"/>
        <v>0</v>
      </c>
      <c r="AV33" s="18">
        <f t="shared" si="5"/>
        <v>77343.468000000023</v>
      </c>
      <c r="AW33" s="45"/>
      <c r="AX33" s="24"/>
      <c r="AY33" s="59"/>
      <c r="AZ33" s="59"/>
      <c r="BA33" s="59"/>
      <c r="BG33" s="443"/>
    </row>
    <row r="34" spans="1:61" s="25" customFormat="1" ht="39" hidden="1" customHeight="1">
      <c r="A34" s="21" t="s">
        <v>281</v>
      </c>
      <c r="B34" s="28" t="s">
        <v>325</v>
      </c>
      <c r="C34" s="23"/>
      <c r="D34" s="23"/>
      <c r="E34" s="23"/>
      <c r="F34" s="23"/>
      <c r="G34" s="23"/>
      <c r="H34" s="464" t="e">
        <f>#REF!+#REF!+#REF!+#REF!+#REF!+#REF!+#REF!+#REF!+#REF!+#REF!+#REF!+#REF!+#REF!</f>
        <v>#REF!</v>
      </c>
      <c r="I34" s="45" t="e">
        <f>#REF!+#REF!+#REF!+#REF!+#REF!+#REF!+#REF!+#REF!+#REF!+#REF!+#REF!+#REF!+#REF!</f>
        <v>#REF!</v>
      </c>
      <c r="J34" s="449" t="e">
        <f>#REF!+#REF!+#REF!+#REF!+#REF!+#REF!+#REF!+#REF!+#REF!+#REF!+#REF!+#REF!+#REF!</f>
        <v>#REF!</v>
      </c>
      <c r="K34" s="448">
        <v>2398135.7139999997</v>
      </c>
      <c r="L34" s="448">
        <v>931603.5</v>
      </c>
      <c r="M34" s="448">
        <v>1980181.327</v>
      </c>
      <c r="N34" s="448">
        <v>480561</v>
      </c>
      <c r="O34" s="448">
        <v>1786790.327</v>
      </c>
      <c r="P34" s="448">
        <v>575629</v>
      </c>
      <c r="Q34" s="448"/>
      <c r="R34" s="448"/>
      <c r="S34" s="448">
        <v>372285.96130000002</v>
      </c>
      <c r="T34" s="448">
        <v>324239.96130000002</v>
      </c>
      <c r="U34" s="448">
        <v>9.5373331374328725</v>
      </c>
      <c r="V34" s="448">
        <v>235222.98800000001</v>
      </c>
      <c r="W34" s="448"/>
      <c r="X34" s="448">
        <v>236073.98830000003</v>
      </c>
      <c r="Y34" s="448">
        <v>229072.98830000003</v>
      </c>
      <c r="Z34" s="448">
        <v>24231.3</v>
      </c>
      <c r="AA34" s="448">
        <v>178773.52</v>
      </c>
      <c r="AB34" s="448">
        <v>82388.616259999995</v>
      </c>
      <c r="AC34" s="448">
        <v>55478.616259999995</v>
      </c>
      <c r="AD34" s="448">
        <v>10697.79326</v>
      </c>
      <c r="AE34" s="448">
        <v>19200.847000000002</v>
      </c>
      <c r="AF34" s="448"/>
      <c r="AG34" s="448"/>
      <c r="AH34" s="448">
        <f t="shared" si="1"/>
        <v>318462.60456000001</v>
      </c>
      <c r="AI34" s="448">
        <f t="shared" si="2"/>
        <v>284551.60456000001</v>
      </c>
      <c r="AJ34" s="448"/>
      <c r="AK34" s="448"/>
      <c r="AL34" s="448"/>
      <c r="AM34" s="448"/>
      <c r="AN34" s="448"/>
      <c r="AO34" s="448"/>
      <c r="AP34" s="448"/>
      <c r="AQ34" s="448"/>
      <c r="AR34" s="448"/>
      <c r="AS34" s="448"/>
      <c r="AT34" s="463">
        <f>AC34/AC30*100</f>
        <v>14.572113994742164</v>
      </c>
      <c r="AU34" s="18">
        <f t="shared" si="0"/>
        <v>0</v>
      </c>
      <c r="AV34" s="18">
        <f t="shared" si="5"/>
        <v>56449.468000000023</v>
      </c>
      <c r="AW34" s="463"/>
      <c r="AX34" s="24"/>
      <c r="AY34" s="59"/>
      <c r="AZ34" s="59"/>
      <c r="BA34" s="59"/>
      <c r="BC34" s="465" t="e">
        <f>#REF!/#REF!*100</f>
        <v>#REF!</v>
      </c>
      <c r="BG34" s="443"/>
    </row>
    <row r="35" spans="1:61" s="25" customFormat="1" ht="42" hidden="1" customHeight="1">
      <c r="A35" s="21" t="s">
        <v>282</v>
      </c>
      <c r="B35" s="28" t="s">
        <v>326</v>
      </c>
      <c r="C35" s="23"/>
      <c r="D35" s="23"/>
      <c r="E35" s="23"/>
      <c r="F35" s="23"/>
      <c r="G35" s="23"/>
      <c r="H35" s="464" t="e">
        <f>#REF!+#REF!+#REF!+#REF!+#REF!+#REF!+#REF!+#REF!+#REF!+#REF!+#REF!+#REF!</f>
        <v>#REF!</v>
      </c>
      <c r="I35" s="45" t="e">
        <f>#REF!+#REF!+#REF!+#REF!+#REF!+#REF!+#REF!+#REF!+#REF!+#REF!+#REF!+#REF!</f>
        <v>#REF!</v>
      </c>
      <c r="J35" s="449" t="e">
        <f>#REF!+#REF!+#REF!+#REF!+#REF!+#REF!+#REF!+#REF!+#REF!+#REF!+#REF!+#REF!</f>
        <v>#REF!</v>
      </c>
      <c r="K35" s="448">
        <v>3974435.0219999999</v>
      </c>
      <c r="L35" s="448">
        <v>894540.9</v>
      </c>
      <c r="M35" s="448">
        <v>1541069.3089999999</v>
      </c>
      <c r="N35" s="448">
        <v>93111</v>
      </c>
      <c r="O35" s="448">
        <v>1224229.3089999999</v>
      </c>
      <c r="P35" s="448">
        <v>223487</v>
      </c>
      <c r="Q35" s="448"/>
      <c r="R35" s="448"/>
      <c r="S35" s="448">
        <v>1174249</v>
      </c>
      <c r="T35" s="448">
        <v>594486.9</v>
      </c>
      <c r="U35" s="448">
        <v>17.486492375607565</v>
      </c>
      <c r="V35" s="448">
        <v>57264</v>
      </c>
      <c r="W35" s="448"/>
      <c r="X35" s="448">
        <v>331706.66000000003</v>
      </c>
      <c r="Y35" s="448">
        <v>207300.66</v>
      </c>
      <c r="Z35" s="448">
        <v>500</v>
      </c>
      <c r="AA35" s="448">
        <v>36370</v>
      </c>
      <c r="AB35" s="448">
        <v>261916.27000000002</v>
      </c>
      <c r="AC35" s="448">
        <v>151105.26999999999</v>
      </c>
      <c r="AD35" s="448">
        <v>3473</v>
      </c>
      <c r="AE35" s="448">
        <v>7488.13</v>
      </c>
      <c r="AF35" s="448"/>
      <c r="AG35" s="448"/>
      <c r="AH35" s="448">
        <f t="shared" si="1"/>
        <v>593622.93000000005</v>
      </c>
      <c r="AI35" s="448">
        <f t="shared" si="2"/>
        <v>358405.93</v>
      </c>
      <c r="AJ35" s="448"/>
      <c r="AK35" s="448"/>
      <c r="AL35" s="448"/>
      <c r="AM35" s="448"/>
      <c r="AN35" s="448"/>
      <c r="AO35" s="448"/>
      <c r="AP35" s="448"/>
      <c r="AQ35" s="448"/>
      <c r="AR35" s="448"/>
      <c r="AS35" s="448"/>
      <c r="AT35" s="463">
        <f>AC35/AC30*100</f>
        <v>39.68958434952669</v>
      </c>
      <c r="AU35" s="18">
        <f t="shared" si="0"/>
        <v>0</v>
      </c>
      <c r="AV35" s="18">
        <f t="shared" si="5"/>
        <v>20894</v>
      </c>
      <c r="AW35" s="463"/>
      <c r="AX35" s="24"/>
      <c r="AY35" s="59"/>
      <c r="AZ35" s="59"/>
      <c r="BA35" s="59"/>
      <c r="BC35" s="25" t="e">
        <f>Y35/#REF!*100</f>
        <v>#REF!</v>
      </c>
      <c r="BG35" s="443"/>
    </row>
    <row r="36" spans="1:61" s="25" customFormat="1" ht="34.5" hidden="1" customHeight="1">
      <c r="A36" s="21" t="s">
        <v>39</v>
      </c>
      <c r="B36" s="26" t="s">
        <v>327</v>
      </c>
      <c r="C36" s="23"/>
      <c r="D36" s="23"/>
      <c r="E36" s="23"/>
      <c r="F36" s="23"/>
      <c r="G36" s="23"/>
      <c r="H36" s="464" t="e">
        <f>#REF!+#REF!+#REF!+H147+#REF!+#REF!+H225+#REF!+#REF!+#REF!+H319+H345+H350+#REF!</f>
        <v>#REF!</v>
      </c>
      <c r="I36" s="460" t="e">
        <f>#REF!+#REF!+#REF!+I147+#REF!+#REF!+I225+#REF!+#REF!+#REF!+I319+I345+I350+#REF!</f>
        <v>#REF!</v>
      </c>
      <c r="J36" s="449" t="e">
        <f>#REF!+#REF!+#REF!+J147+#REF!+#REF!+J225+#REF!+#REF!+#REF!+J319+J345+J350+#REF!</f>
        <v>#REF!</v>
      </c>
      <c r="K36" s="448">
        <v>1059034.8999999999</v>
      </c>
      <c r="L36" s="448">
        <v>815011.9</v>
      </c>
      <c r="M36" s="448">
        <v>5000</v>
      </c>
      <c r="N36" s="448">
        <v>0</v>
      </c>
      <c r="O36" s="448">
        <v>28595</v>
      </c>
      <c r="P36" s="448">
        <v>5000</v>
      </c>
      <c r="Q36" s="448"/>
      <c r="R36" s="448"/>
      <c r="S36" s="448">
        <v>2155351.4099999997</v>
      </c>
      <c r="T36" s="448">
        <v>1927068.71</v>
      </c>
      <c r="U36" s="448">
        <v>56.683624659663487</v>
      </c>
      <c r="V36" s="448">
        <v>86793</v>
      </c>
      <c r="W36" s="448"/>
      <c r="X36" s="448">
        <v>64153.1</v>
      </c>
      <c r="Y36" s="448">
        <v>61153.1</v>
      </c>
      <c r="Z36" s="448">
        <v>0</v>
      </c>
      <c r="AA36" s="448">
        <v>0</v>
      </c>
      <c r="AB36" s="448">
        <v>398084</v>
      </c>
      <c r="AC36" s="448">
        <v>247653</v>
      </c>
      <c r="AD36" s="448">
        <v>3500</v>
      </c>
      <c r="AE36" s="448">
        <v>33.333333333333329</v>
      </c>
      <c r="AF36" s="448"/>
      <c r="AG36" s="448"/>
      <c r="AH36" s="448">
        <f t="shared" si="1"/>
        <v>462237.1</v>
      </c>
      <c r="AI36" s="448">
        <f t="shared" si="2"/>
        <v>308806.09999999998</v>
      </c>
      <c r="AJ36" s="448"/>
      <c r="AK36" s="448"/>
      <c r="AL36" s="448"/>
      <c r="AM36" s="448"/>
      <c r="AN36" s="448"/>
      <c r="AO36" s="448"/>
      <c r="AP36" s="448"/>
      <c r="AQ36" s="448"/>
      <c r="AR36" s="448"/>
      <c r="AS36" s="448"/>
      <c r="AT36" s="463">
        <f>AC36/AC30*100</f>
        <v>65.048986265755886</v>
      </c>
      <c r="AU36" s="18">
        <f t="shared" si="0"/>
        <v>0</v>
      </c>
      <c r="AV36" s="18">
        <f t="shared" si="5"/>
        <v>86793</v>
      </c>
      <c r="AW36" s="463"/>
      <c r="AX36" s="24"/>
      <c r="AY36" s="59"/>
      <c r="AZ36" s="59"/>
      <c r="BA36" s="59"/>
      <c r="BC36" s="25" t="e">
        <f>Y36/#REF!*100</f>
        <v>#REF!</v>
      </c>
      <c r="BG36" s="443"/>
    </row>
    <row r="37" spans="1:61" s="25" customFormat="1" ht="24" hidden="1" customHeight="1">
      <c r="A37" s="466" t="s">
        <v>48</v>
      </c>
      <c r="B37" s="467" t="s">
        <v>328</v>
      </c>
      <c r="C37" s="23"/>
      <c r="D37" s="23"/>
      <c r="E37" s="23"/>
      <c r="F37" s="23"/>
      <c r="G37" s="23"/>
      <c r="H37" s="26" t="e">
        <f>SUM(H34:H36)</f>
        <v>#REF!</v>
      </c>
      <c r="I37" s="23"/>
      <c r="J37" s="461"/>
      <c r="K37" s="448">
        <v>2940880.7795480001</v>
      </c>
      <c r="L37" s="448">
        <v>218815.94057599999</v>
      </c>
      <c r="M37" s="448">
        <v>808171.99</v>
      </c>
      <c r="N37" s="448">
        <v>76914</v>
      </c>
      <c r="O37" s="448">
        <v>781667.99</v>
      </c>
      <c r="P37" s="448">
        <v>70306</v>
      </c>
      <c r="Q37" s="448"/>
      <c r="R37" s="448"/>
      <c r="S37" s="448">
        <v>736500.52949700004</v>
      </c>
      <c r="T37" s="448">
        <v>190488.52949700001</v>
      </c>
      <c r="U37" s="448">
        <v>5.603111218581919</v>
      </c>
      <c r="V37" s="448">
        <v>5557.3694969999997</v>
      </c>
      <c r="W37" s="448"/>
      <c r="X37" s="448">
        <v>49509.808208329996</v>
      </c>
      <c r="Y37" s="448">
        <v>36509.808208329996</v>
      </c>
      <c r="Z37" s="448">
        <v>0</v>
      </c>
      <c r="AA37" s="448">
        <v>4105</v>
      </c>
      <c r="AB37" s="448">
        <v>58296.369497</v>
      </c>
      <c r="AC37" s="448">
        <v>52200.369497</v>
      </c>
      <c r="AD37" s="448">
        <v>6000</v>
      </c>
      <c r="AE37" s="448">
        <v>0</v>
      </c>
      <c r="AF37" s="448"/>
      <c r="AG37" s="448"/>
      <c r="AH37" s="448">
        <f t="shared" si="1"/>
        <v>107806.17770532999</v>
      </c>
      <c r="AI37" s="448">
        <f t="shared" si="2"/>
        <v>88710.177705329988</v>
      </c>
      <c r="AJ37" s="448"/>
      <c r="AK37" s="448"/>
      <c r="AL37" s="448"/>
      <c r="AM37" s="448"/>
      <c r="AN37" s="448"/>
      <c r="AO37" s="448"/>
      <c r="AP37" s="448"/>
      <c r="AQ37" s="448"/>
      <c r="AR37" s="448"/>
      <c r="AS37" s="448"/>
      <c r="AT37" s="468">
        <f>AC37/AC30*100</f>
        <v>13.711043752660924</v>
      </c>
      <c r="AU37" s="18">
        <f t="shared" si="0"/>
        <v>0</v>
      </c>
      <c r="AV37" s="18">
        <f t="shared" si="5"/>
        <v>1452.3694969999997</v>
      </c>
      <c r="AW37" s="20"/>
      <c r="AX37" s="194"/>
      <c r="BG37" s="443"/>
    </row>
    <row r="38" spans="1:61" s="25" customFormat="1" ht="38.25" hidden="1" customHeight="1">
      <c r="A38" s="469" t="s">
        <v>180</v>
      </c>
      <c r="B38" s="470" t="s">
        <v>329</v>
      </c>
      <c r="C38" s="23"/>
      <c r="D38" s="23"/>
      <c r="E38" s="23"/>
      <c r="F38" s="23"/>
      <c r="G38" s="23"/>
      <c r="H38" s="23" t="s">
        <v>315</v>
      </c>
      <c r="I38" s="23"/>
      <c r="J38" s="461"/>
      <c r="K38" s="471"/>
      <c r="L38" s="471"/>
      <c r="M38" s="471"/>
      <c r="N38" s="471"/>
      <c r="O38" s="471"/>
      <c r="P38" s="471"/>
      <c r="Q38" s="471"/>
      <c r="R38" s="471"/>
      <c r="S38" s="448">
        <v>363408</v>
      </c>
      <c r="T38" s="448">
        <v>363408</v>
      </c>
      <c r="U38" s="448">
        <v>10.689438608714159</v>
      </c>
      <c r="V38" s="448"/>
      <c r="W38" s="448"/>
      <c r="X38" s="448">
        <v>84594</v>
      </c>
      <c r="Y38" s="448">
        <v>84594</v>
      </c>
      <c r="Z38" s="471"/>
      <c r="AA38" s="448">
        <v>0</v>
      </c>
      <c r="AB38" s="448"/>
      <c r="AC38" s="448"/>
      <c r="AD38" s="471"/>
      <c r="AE38" s="471">
        <v>0</v>
      </c>
      <c r="AF38" s="471"/>
      <c r="AG38" s="471"/>
      <c r="AH38" s="448">
        <f t="shared" si="1"/>
        <v>84594</v>
      </c>
      <c r="AI38" s="448">
        <f t="shared" si="2"/>
        <v>84594</v>
      </c>
      <c r="AJ38" s="448"/>
      <c r="AK38" s="448"/>
      <c r="AL38" s="448"/>
      <c r="AM38" s="448"/>
      <c r="AN38" s="448"/>
      <c r="AO38" s="448"/>
      <c r="AP38" s="471"/>
      <c r="AQ38" s="471"/>
      <c r="AR38" s="471"/>
      <c r="AS38" s="471"/>
      <c r="AT38" s="33" t="s">
        <v>315</v>
      </c>
      <c r="AU38" s="18">
        <f t="shared" si="0"/>
        <v>0</v>
      </c>
      <c r="AV38" s="18">
        <f t="shared" si="5"/>
        <v>0</v>
      </c>
      <c r="AW38" s="32"/>
      <c r="AX38" s="24"/>
      <c r="AY38" s="462"/>
      <c r="AZ38" s="24"/>
      <c r="BA38" s="24"/>
      <c r="BG38" s="443"/>
    </row>
    <row r="39" spans="1:61" s="25" customFormat="1" ht="24" hidden="1" customHeight="1">
      <c r="A39" s="469" t="s">
        <v>136</v>
      </c>
      <c r="B39" s="472" t="s">
        <v>330</v>
      </c>
      <c r="C39" s="23"/>
      <c r="D39" s="23"/>
      <c r="E39" s="23"/>
      <c r="F39" s="23"/>
      <c r="G39" s="23"/>
      <c r="H39" s="23"/>
      <c r="I39" s="23"/>
      <c r="J39" s="461"/>
      <c r="K39" s="471"/>
      <c r="L39" s="471"/>
      <c r="M39" s="471"/>
      <c r="N39" s="471"/>
      <c r="O39" s="471"/>
      <c r="P39" s="471"/>
      <c r="Q39" s="471"/>
      <c r="R39" s="471"/>
      <c r="S39" s="448">
        <v>60000</v>
      </c>
      <c r="T39" s="448">
        <f>S39</f>
        <v>60000</v>
      </c>
      <c r="U39" s="448">
        <v>0</v>
      </c>
      <c r="V39" s="448"/>
      <c r="W39" s="448"/>
      <c r="X39" s="471"/>
      <c r="Y39" s="471"/>
      <c r="Z39" s="471"/>
      <c r="AA39" s="471"/>
      <c r="AB39" s="448">
        <v>0</v>
      </c>
      <c r="AC39" s="448">
        <v>0</v>
      </c>
      <c r="AD39" s="471"/>
      <c r="AE39" s="471">
        <v>0</v>
      </c>
      <c r="AF39" s="471"/>
      <c r="AG39" s="471"/>
      <c r="AH39" s="448">
        <f t="shared" si="1"/>
        <v>0</v>
      </c>
      <c r="AI39" s="448">
        <f t="shared" si="2"/>
        <v>0</v>
      </c>
      <c r="AJ39" s="448"/>
      <c r="AK39" s="448"/>
      <c r="AL39" s="448"/>
      <c r="AM39" s="448"/>
      <c r="AN39" s="448"/>
      <c r="AO39" s="448"/>
      <c r="AP39" s="471"/>
      <c r="AQ39" s="471"/>
      <c r="AR39" s="471"/>
      <c r="AS39" s="471"/>
      <c r="AT39" s="473">
        <f>AC39/AC30*100</f>
        <v>0</v>
      </c>
      <c r="AU39" s="18">
        <f t="shared" si="0"/>
        <v>0</v>
      </c>
      <c r="AV39" s="18">
        <f t="shared" si="5"/>
        <v>0</v>
      </c>
      <c r="AW39" s="474"/>
      <c r="AX39" s="24"/>
      <c r="AY39" s="59"/>
      <c r="AZ39" s="59"/>
      <c r="BA39" s="59"/>
      <c r="BG39" s="443"/>
    </row>
    <row r="40" spans="1:61" s="25" customFormat="1" ht="22.5" hidden="1" customHeight="1">
      <c r="A40" s="21"/>
      <c r="B40" s="22"/>
      <c r="C40" s="23"/>
      <c r="D40" s="23"/>
      <c r="E40" s="23"/>
      <c r="F40" s="23"/>
      <c r="G40" s="23"/>
      <c r="H40" s="23"/>
      <c r="I40" s="23"/>
      <c r="J40" s="461"/>
      <c r="K40" s="448"/>
      <c r="L40" s="448"/>
      <c r="M40" s="448"/>
      <c r="N40" s="448"/>
      <c r="O40" s="448"/>
      <c r="P40" s="448"/>
      <c r="Q40" s="448"/>
      <c r="R40" s="448"/>
      <c r="S40" s="448"/>
      <c r="T40" s="448"/>
      <c r="U40" s="448"/>
      <c r="V40" s="448"/>
      <c r="W40" s="448"/>
      <c r="X40" s="448">
        <v>631933.74829999998</v>
      </c>
      <c r="Y40" s="448">
        <v>497526.74829999998</v>
      </c>
      <c r="Z40" s="448">
        <v>24731.3</v>
      </c>
      <c r="AA40" s="448">
        <v>215143.52</v>
      </c>
      <c r="AB40" s="448"/>
      <c r="AC40" s="448"/>
      <c r="AD40" s="448"/>
      <c r="AE40" s="448"/>
      <c r="AF40" s="448"/>
      <c r="AG40" s="448"/>
      <c r="AH40" s="448">
        <f t="shared" si="1"/>
        <v>631933.74829999998</v>
      </c>
      <c r="AI40" s="448">
        <f t="shared" si="2"/>
        <v>497526.74829999998</v>
      </c>
      <c r="AJ40" s="448"/>
      <c r="AK40" s="448"/>
      <c r="AL40" s="448"/>
      <c r="AM40" s="448"/>
      <c r="AN40" s="448"/>
      <c r="AO40" s="448"/>
      <c r="AP40" s="448"/>
      <c r="AQ40" s="448"/>
      <c r="AR40" s="448"/>
      <c r="AS40" s="448"/>
      <c r="AT40" s="45">
        <f>SUM(AT34:AT39)</f>
        <v>133.02172836268565</v>
      </c>
      <c r="AU40" s="18">
        <f t="shared" si="0"/>
        <v>0</v>
      </c>
      <c r="AV40" s="18">
        <f t="shared" si="5"/>
        <v>-215143.52</v>
      </c>
      <c r="AW40" s="45"/>
      <c r="AX40" s="24"/>
      <c r="AY40" s="59"/>
      <c r="AZ40" s="59"/>
      <c r="BA40" s="59"/>
      <c r="BG40" s="443"/>
    </row>
    <row r="41" spans="1:61" s="25" customFormat="1" ht="26.25" hidden="1" customHeight="1">
      <c r="A41" s="21"/>
      <c r="B41" s="22"/>
      <c r="C41" s="23"/>
      <c r="D41" s="23"/>
      <c r="E41" s="23"/>
      <c r="F41" s="23"/>
      <c r="G41" s="23"/>
      <c r="H41" s="23"/>
      <c r="I41" s="23"/>
      <c r="J41" s="461"/>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75"/>
      <c r="AU41" s="18">
        <f t="shared" si="0"/>
        <v>0</v>
      </c>
      <c r="AV41" s="18"/>
      <c r="AW41" s="476"/>
      <c r="AX41" s="24"/>
      <c r="AY41" s="59"/>
      <c r="AZ41" s="59"/>
      <c r="BA41" s="59"/>
      <c r="BG41" s="443"/>
    </row>
    <row r="42" spans="1:61" s="81" customFormat="1" ht="59.25" customHeight="1">
      <c r="A42" s="478" t="s">
        <v>73</v>
      </c>
      <c r="B42" s="479" t="s">
        <v>748</v>
      </c>
      <c r="C42" s="480"/>
      <c r="D42" s="480"/>
      <c r="E42" s="480"/>
      <c r="F42" s="480"/>
      <c r="G42" s="480"/>
      <c r="H42" s="480"/>
      <c r="I42" s="480"/>
      <c r="J42" s="481"/>
      <c r="K42" s="482"/>
      <c r="L42" s="482"/>
      <c r="M42" s="482"/>
      <c r="N42" s="482"/>
      <c r="O42" s="482"/>
      <c r="P42" s="482"/>
      <c r="Q42" s="482"/>
      <c r="R42" s="482"/>
      <c r="S42" s="482"/>
      <c r="T42" s="482">
        <f>T43</f>
        <v>2842293</v>
      </c>
      <c r="U42" s="482"/>
      <c r="V42" s="482"/>
      <c r="W42" s="482">
        <f t="shared" ref="W42:AI42" si="8">W43+W48</f>
        <v>0</v>
      </c>
      <c r="X42" s="482">
        <f t="shared" si="8"/>
        <v>298229.09999999998</v>
      </c>
      <c r="Y42" s="482">
        <f t="shared" si="8"/>
        <v>177403.7</v>
      </c>
      <c r="Z42" s="482">
        <f t="shared" si="8"/>
        <v>0</v>
      </c>
      <c r="AA42" s="482">
        <f t="shared" si="8"/>
        <v>13371</v>
      </c>
      <c r="AB42" s="482">
        <f t="shared" si="8"/>
        <v>668943.69326000009</v>
      </c>
      <c r="AC42" s="482">
        <f t="shared" si="8"/>
        <v>381745.69325999997</v>
      </c>
      <c r="AD42" s="482">
        <f t="shared" si="8"/>
        <v>11847.79326</v>
      </c>
      <c r="AE42" s="482">
        <f t="shared" si="8"/>
        <v>397</v>
      </c>
      <c r="AF42" s="482">
        <f t="shared" si="8"/>
        <v>121345.56517299998</v>
      </c>
      <c r="AG42" s="482">
        <f t="shared" si="8"/>
        <v>196283.58085100001</v>
      </c>
      <c r="AH42" s="482">
        <f t="shared" si="8"/>
        <v>1166515</v>
      </c>
      <c r="AI42" s="482">
        <f t="shared" si="8"/>
        <v>1166515</v>
      </c>
      <c r="AJ42" s="482"/>
      <c r="AK42" s="482"/>
      <c r="AL42" s="482">
        <f>AL43+AL48</f>
        <v>705258.94007333333</v>
      </c>
      <c r="AM42" s="482">
        <f>AM43+AM48</f>
        <v>675941.94007333333</v>
      </c>
      <c r="AN42" s="482" t="e">
        <f>AN43+AN48</f>
        <v>#REF!</v>
      </c>
      <c r="AO42" s="482">
        <f>AO43+AO48</f>
        <v>0</v>
      </c>
      <c r="AP42" s="482">
        <f>AP43</f>
        <v>667147</v>
      </c>
      <c r="AQ42" s="482">
        <f>AQ43</f>
        <v>628530</v>
      </c>
      <c r="AR42" s="482">
        <f>AR43+AR48</f>
        <v>51000</v>
      </c>
      <c r="AS42" s="482">
        <f>AS43+AS48</f>
        <v>0</v>
      </c>
      <c r="AT42" s="483">
        <f>AQ49+AQ50+AQ51+AQ52+AQ53+AQ63+AQ65+AQ66+AQ69+AQ70+AQ71+AQ72+AQ73+AQ75+AQ76+AQ79+AQ82+AQ83+AQ89+AQ91+AQ92+AQ96+AQ97+AQ98+AQ99+AQ100+AQ101+AQ102+AQ105+AQ106+AQ107+AQ108+AQ109+AQ112+AQ113+AQ114+AQ119+AQ120+AQ121+AQ122+AQ125+AQ126+AQ127+AQ128+AQ129+AQ130+AQ133+AQ134+AQ135+AQ136+AQ137+AQ142+AQ144+AQ150+AQ151+AQ152+AQ153+AQ154+AQ157+AQ158+AQ159+AQ163+AQ164+AQ175+AQ180+AQ181+AQ182+AQ183+AQ184+AQ187+AQ189+AQ190+AQ193+AQ199+AQ200+AQ201+AQ204+AQ205+AQ206+AQ209+AQ210+AQ211+AQ212+AQ213+AQ214+AQ217+AQ218+AQ219+AQ224+AQ225+AQ228+AQ229+AQ230+AQ231+AQ232+AQ233+AQ236+AQ240+AQ239+AQ241+AQ253+AQ256+AQ257+AQ258+AQ259+AQ260+AQ261+AQ262+AQ263+AQ265+AQ269+AQ270+AQ280+AQ284+AQ287+AQ288+AQ291+AQ292+AQ293+AQ281+AQ294+AQ295+AQ298+AQ299+AQ307+AQ308+AQ309+AQ310+AQ315+AQ316+AQ322+AQ325+AQ329+AQ330+AQ331+AQ336+AQ337+AQ338+AQ339+AQ340+AQ344+AQ347+AQ348+AQ392+20000+55000+41000</f>
        <v>628530</v>
      </c>
      <c r="AU42" s="484">
        <f t="shared" si="0"/>
        <v>38617</v>
      </c>
      <c r="AV42" s="484"/>
      <c r="AW42" s="485"/>
      <c r="AX42" s="486"/>
      <c r="AY42" s="487"/>
      <c r="AZ42" s="487"/>
      <c r="BA42" s="487"/>
      <c r="BG42" s="488">
        <f>AL42-AQ42</f>
        <v>76728.940073333331</v>
      </c>
    </row>
    <row r="43" spans="1:61" s="81" customFormat="1" ht="59.25" customHeight="1">
      <c r="A43" s="489" t="s">
        <v>781</v>
      </c>
      <c r="B43" s="490" t="s">
        <v>304</v>
      </c>
      <c r="C43" s="480"/>
      <c r="D43" s="480"/>
      <c r="E43" s="480"/>
      <c r="F43" s="480"/>
      <c r="G43" s="480"/>
      <c r="H43" s="480"/>
      <c r="I43" s="480"/>
      <c r="J43" s="481"/>
      <c r="K43" s="482"/>
      <c r="L43" s="482"/>
      <c r="M43" s="482"/>
      <c r="N43" s="482"/>
      <c r="O43" s="482"/>
      <c r="P43" s="482"/>
      <c r="Q43" s="482"/>
      <c r="R43" s="482"/>
      <c r="S43" s="482"/>
      <c r="T43" s="482">
        <f>T44+T46+T47</f>
        <v>2842293</v>
      </c>
      <c r="U43" s="482"/>
      <c r="V43" s="482"/>
      <c r="W43" s="482">
        <f t="shared" ref="W43:AI43" si="9">W44+W46+W47</f>
        <v>0</v>
      </c>
      <c r="X43" s="482">
        <f t="shared" si="9"/>
        <v>298229.09999999998</v>
      </c>
      <c r="Y43" s="482">
        <f t="shared" si="9"/>
        <v>177403.7</v>
      </c>
      <c r="Z43" s="482">
        <f t="shared" si="9"/>
        <v>0</v>
      </c>
      <c r="AA43" s="482">
        <f t="shared" si="9"/>
        <v>13371</v>
      </c>
      <c r="AB43" s="482">
        <f t="shared" si="9"/>
        <v>667915.69326000009</v>
      </c>
      <c r="AC43" s="482">
        <f t="shared" si="9"/>
        <v>380717.69325999997</v>
      </c>
      <c r="AD43" s="482">
        <f t="shared" si="9"/>
        <v>11847.79326</v>
      </c>
      <c r="AE43" s="482">
        <f t="shared" si="9"/>
        <v>397</v>
      </c>
      <c r="AF43" s="482">
        <f t="shared" si="9"/>
        <v>121345.56517299998</v>
      </c>
      <c r="AG43" s="482">
        <f t="shared" si="9"/>
        <v>196283.58085100001</v>
      </c>
      <c r="AH43" s="482">
        <f t="shared" si="9"/>
        <v>1165487</v>
      </c>
      <c r="AI43" s="482">
        <f t="shared" si="9"/>
        <v>1165487</v>
      </c>
      <c r="AJ43" s="482"/>
      <c r="AK43" s="482"/>
      <c r="AL43" s="482">
        <f>AL44+AL46+AL47</f>
        <v>703715.94007333333</v>
      </c>
      <c r="AM43" s="482">
        <f>AM44+AM46+AM47</f>
        <v>674398.94007333333</v>
      </c>
      <c r="AN43" s="482" t="e">
        <f>AN44+AN46+AN47</f>
        <v>#REF!</v>
      </c>
      <c r="AO43" s="482"/>
      <c r="AP43" s="482">
        <f>AP44+AP46+AP47</f>
        <v>667147</v>
      </c>
      <c r="AQ43" s="482">
        <f>AQ44+AQ46+AQ47</f>
        <v>628530</v>
      </c>
      <c r="AR43" s="482">
        <f>AR44+AR46+AR47</f>
        <v>51000</v>
      </c>
      <c r="AS43" s="482">
        <f>AS44+AS46+AS47</f>
        <v>0</v>
      </c>
      <c r="AT43" s="491"/>
      <c r="AU43" s="484">
        <f t="shared" si="0"/>
        <v>38617</v>
      </c>
      <c r="AV43" s="484"/>
      <c r="AW43" s="485"/>
      <c r="AX43" s="486"/>
      <c r="AY43" s="487"/>
      <c r="AZ43" s="487"/>
      <c r="BA43" s="487"/>
      <c r="BG43" s="488">
        <f t="shared" ref="BG43:BG83" si="10">AL43-AQ43</f>
        <v>75185.940073333331</v>
      </c>
      <c r="BH43" s="492">
        <f>BH44+BH46+BH47</f>
        <v>657730</v>
      </c>
    </row>
    <row r="44" spans="1:61" s="82" customFormat="1" ht="59.25" customHeight="1">
      <c r="A44" s="484" t="s">
        <v>305</v>
      </c>
      <c r="B44" s="493" t="s">
        <v>749</v>
      </c>
      <c r="C44" s="494"/>
      <c r="D44" s="494"/>
      <c r="E44" s="494"/>
      <c r="F44" s="494"/>
      <c r="G44" s="494"/>
      <c r="H44" s="494"/>
      <c r="I44" s="494"/>
      <c r="J44" s="495"/>
      <c r="K44" s="496"/>
      <c r="L44" s="496"/>
      <c r="M44" s="496">
        <f t="shared" ref="M44:R44" si="11">M60+M86+M116+M139+M172+M196+M221+M250+M277+M304+M312+M342+M349+M393+M435+M463</f>
        <v>1771246.1459999999</v>
      </c>
      <c r="N44" s="496">
        <f t="shared" si="11"/>
        <v>189042</v>
      </c>
      <c r="O44" s="496">
        <f t="shared" si="11"/>
        <v>840416.45600000001</v>
      </c>
      <c r="P44" s="496">
        <f t="shared" si="11"/>
        <v>243619</v>
      </c>
      <c r="Q44" s="496">
        <f t="shared" si="11"/>
        <v>2071768.2459999998</v>
      </c>
      <c r="R44" s="496">
        <f t="shared" si="11"/>
        <v>361411.7</v>
      </c>
      <c r="S44" s="496"/>
      <c r="T44" s="496">
        <v>2582193</v>
      </c>
      <c r="U44" s="496"/>
      <c r="V44" s="496"/>
      <c r="W44" s="496"/>
      <c r="X44" s="496">
        <f t="shared" ref="X44:AG44" si="12">X60+X86+X116+X139+X172+X196+X221+X250+X277+X304+X312+X342+X349+X393+X435+X463</f>
        <v>298229.09999999998</v>
      </c>
      <c r="Y44" s="496">
        <f t="shared" si="12"/>
        <v>177403.7</v>
      </c>
      <c r="Z44" s="496">
        <f t="shared" si="12"/>
        <v>0</v>
      </c>
      <c r="AA44" s="496">
        <f t="shared" si="12"/>
        <v>13371</v>
      </c>
      <c r="AB44" s="496">
        <f t="shared" si="12"/>
        <v>667915.69326000009</v>
      </c>
      <c r="AC44" s="496">
        <f t="shared" si="12"/>
        <v>380717.69325999997</v>
      </c>
      <c r="AD44" s="496">
        <f t="shared" si="12"/>
        <v>11847.79326</v>
      </c>
      <c r="AE44" s="496">
        <f t="shared" si="12"/>
        <v>397</v>
      </c>
      <c r="AF44" s="496">
        <f t="shared" si="12"/>
        <v>121345.56517299998</v>
      </c>
      <c r="AG44" s="496">
        <f t="shared" si="12"/>
        <v>196283.58085100001</v>
      </c>
      <c r="AH44" s="496">
        <f>510462+602300</f>
        <v>1112762</v>
      </c>
      <c r="AI44" s="496">
        <f>510462+602300</f>
        <v>1112762</v>
      </c>
      <c r="AJ44" s="496"/>
      <c r="AK44" s="496"/>
      <c r="AL44" s="496">
        <f>AL60+AL86+AL116+AL139+AL172+AL196+AL221+AL250+AL277+AL304+AL312+AL342+AL349+AL393+AL435+AL463-12000</f>
        <v>669015.94007333333</v>
      </c>
      <c r="AM44" s="496">
        <f>AM60+AM86+AM116+AM139+AM172+AM196+AM221+AM250+AM277+AM304+AM312+AM342+AM349+AM393+AM435+AM463-12000</f>
        <v>639698.94007333333</v>
      </c>
      <c r="AN44" s="496" t="e">
        <f>AN60+AN86+AN116+AN139+AN172+AN196+AN221+AN250+AN277+AN304+AN312+AN342+AN349+AN393+AN435+AN463</f>
        <v>#REF!</v>
      </c>
      <c r="AO44" s="496" t="e">
        <f>AO60+AO86+AO116+AO139+AO172+AO196+AO221+AO250+AO277+AO304+AO312+AO342+AO349+AO393+AO435+AO463</f>
        <v>#VALUE!</v>
      </c>
      <c r="AP44" s="496">
        <f>AP60+AP86+AP116+AP139+AP172+AP196+AP221+AP250+AP277+AP304+AP312+AP342+AP349+AP393+AP435+AP463+AP48-15800</f>
        <v>631347</v>
      </c>
      <c r="AQ44" s="496">
        <f>AQ60+AQ86+AQ116+AQ139+AQ172+AQ196+AQ221+AQ250+AQ277+AQ304+AQ312+AQ342+AQ349+AQ393+AQ435+AQ463+AQ48-15800</f>
        <v>592730</v>
      </c>
      <c r="AR44" s="496">
        <f>AR60+AR86+AR116+AR139+AR172+AR196+AR221+AR250+AR277+AR304+AR312+AR342+AR349+AR393+AR435+AR463</f>
        <v>51000</v>
      </c>
      <c r="AS44" s="496">
        <f>AS60+AS86+AS116+AS139+AS172+AS196+AS221+AS250+AS277+AS304+AS312+AS342+AS349+AS393+AS435+AS463</f>
        <v>0</v>
      </c>
      <c r="AT44" s="491"/>
      <c r="AU44" s="484">
        <f t="shared" si="0"/>
        <v>38617</v>
      </c>
      <c r="AV44" s="484"/>
      <c r="AW44" s="497"/>
      <c r="AX44" s="498"/>
      <c r="AY44" s="499"/>
      <c r="AZ44" s="499"/>
      <c r="BA44" s="499"/>
      <c r="BD44" s="82">
        <f>AP44-AQ44</f>
        <v>38617</v>
      </c>
      <c r="BG44" s="488">
        <f>AL44-AQ44</f>
        <v>76285.940073333331</v>
      </c>
      <c r="BH44" s="500">
        <v>592730</v>
      </c>
      <c r="BI44" s="500">
        <f>BH44-AQ44</f>
        <v>0</v>
      </c>
    </row>
    <row r="45" spans="1:61" s="510" customFormat="1" ht="59.25" customHeight="1">
      <c r="A45" s="501"/>
      <c r="B45" s="502" t="s">
        <v>307</v>
      </c>
      <c r="C45" s="503"/>
      <c r="D45" s="503"/>
      <c r="E45" s="503"/>
      <c r="F45" s="503"/>
      <c r="G45" s="503"/>
      <c r="H45" s="503"/>
      <c r="I45" s="503"/>
      <c r="J45" s="504"/>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f>AQ45</f>
        <v>592730</v>
      </c>
      <c r="AQ45" s="505">
        <v>592730</v>
      </c>
      <c r="AR45" s="505"/>
      <c r="AS45" s="505"/>
      <c r="AT45" s="506"/>
      <c r="AU45" s="501"/>
      <c r="AV45" s="501"/>
      <c r="AW45" s="507"/>
      <c r="AX45" s="508"/>
      <c r="AY45" s="509"/>
      <c r="AZ45" s="509"/>
      <c r="BA45" s="509"/>
      <c r="BG45" s="511"/>
      <c r="BH45" s="512"/>
      <c r="BI45" s="512"/>
    </row>
    <row r="46" spans="1:61" s="82" customFormat="1" ht="63.75" customHeight="1">
      <c r="A46" s="484" t="s">
        <v>309</v>
      </c>
      <c r="B46" s="493" t="s">
        <v>1095</v>
      </c>
      <c r="C46" s="494"/>
      <c r="D46" s="494"/>
      <c r="E46" s="494"/>
      <c r="F46" s="494"/>
      <c r="G46" s="494"/>
      <c r="H46" s="494"/>
      <c r="I46" s="494"/>
      <c r="J46" s="495"/>
      <c r="K46" s="496"/>
      <c r="L46" s="496"/>
      <c r="M46" s="496"/>
      <c r="N46" s="496"/>
      <c r="O46" s="496"/>
      <c r="P46" s="496"/>
      <c r="Q46" s="496"/>
      <c r="R46" s="496"/>
      <c r="S46" s="513"/>
      <c r="T46" s="513">
        <v>150300</v>
      </c>
      <c r="U46" s="496"/>
      <c r="V46" s="496"/>
      <c r="W46" s="496"/>
      <c r="X46" s="496"/>
      <c r="Y46" s="496"/>
      <c r="Z46" s="496"/>
      <c r="AA46" s="496"/>
      <c r="AB46" s="496"/>
      <c r="AC46" s="496"/>
      <c r="AD46" s="496"/>
      <c r="AE46" s="496"/>
      <c r="AF46" s="496"/>
      <c r="AG46" s="496"/>
      <c r="AH46" s="496">
        <f>AI46</f>
        <v>24725</v>
      </c>
      <c r="AI46" s="496">
        <f>13750+10975</f>
        <v>24725</v>
      </c>
      <c r="AJ46" s="496"/>
      <c r="AK46" s="496"/>
      <c r="AL46" s="496">
        <v>12000</v>
      </c>
      <c r="AM46" s="496">
        <v>12000</v>
      </c>
      <c r="AN46" s="496"/>
      <c r="AO46" s="496"/>
      <c r="AP46" s="496">
        <f>AQ46</f>
        <v>15800</v>
      </c>
      <c r="AQ46" s="496">
        <v>15800</v>
      </c>
      <c r="AR46" s="496"/>
      <c r="AS46" s="496"/>
      <c r="AT46" s="491"/>
      <c r="AU46" s="484">
        <f t="shared" si="0"/>
        <v>0</v>
      </c>
      <c r="AV46" s="484"/>
      <c r="AW46" s="497"/>
      <c r="AX46" s="498"/>
      <c r="AY46" s="499"/>
      <c r="AZ46" s="499"/>
      <c r="BA46" s="499"/>
      <c r="BD46" s="82">
        <v>759783</v>
      </c>
      <c r="BE46" s="82">
        <f>AQ42-BD46</f>
        <v>-131253</v>
      </c>
      <c r="BG46" s="488">
        <f t="shared" si="10"/>
        <v>-3800</v>
      </c>
      <c r="BH46" s="492">
        <v>45000</v>
      </c>
    </row>
    <row r="47" spans="1:61" s="82" customFormat="1" ht="59.25" customHeight="1">
      <c r="A47" s="484" t="s">
        <v>311</v>
      </c>
      <c r="B47" s="493" t="s">
        <v>312</v>
      </c>
      <c r="C47" s="494"/>
      <c r="D47" s="494"/>
      <c r="E47" s="494"/>
      <c r="F47" s="494"/>
      <c r="G47" s="494"/>
      <c r="H47" s="494"/>
      <c r="I47" s="494"/>
      <c r="J47" s="495"/>
      <c r="K47" s="496"/>
      <c r="L47" s="496"/>
      <c r="M47" s="496"/>
      <c r="N47" s="496"/>
      <c r="O47" s="496"/>
      <c r="P47" s="496"/>
      <c r="Q47" s="496"/>
      <c r="R47" s="496"/>
      <c r="S47" s="513"/>
      <c r="T47" s="513">
        <v>109800</v>
      </c>
      <c r="U47" s="496"/>
      <c r="V47" s="496"/>
      <c r="W47" s="496"/>
      <c r="X47" s="496"/>
      <c r="Y47" s="496"/>
      <c r="Z47" s="496"/>
      <c r="AA47" s="496"/>
      <c r="AB47" s="496"/>
      <c r="AC47" s="496"/>
      <c r="AD47" s="496"/>
      <c r="AE47" s="496"/>
      <c r="AF47" s="496"/>
      <c r="AG47" s="496"/>
      <c r="AH47" s="496">
        <f>AI47</f>
        <v>28000</v>
      </c>
      <c r="AI47" s="496">
        <f>11000+17000</f>
        <v>28000</v>
      </c>
      <c r="AJ47" s="496"/>
      <c r="AK47" s="496"/>
      <c r="AL47" s="496">
        <f t="shared" ref="AL47:AO47" si="13">AL481</f>
        <v>22700</v>
      </c>
      <c r="AM47" s="496">
        <f t="shared" si="13"/>
        <v>22700</v>
      </c>
      <c r="AN47" s="496">
        <f t="shared" si="13"/>
        <v>0</v>
      </c>
      <c r="AO47" s="496">
        <f t="shared" si="13"/>
        <v>0</v>
      </c>
      <c r="AP47" s="496">
        <f>AQ47</f>
        <v>20000</v>
      </c>
      <c r="AQ47" s="496">
        <v>20000</v>
      </c>
      <c r="AR47" s="496"/>
      <c r="AS47" s="496"/>
      <c r="AT47" s="491"/>
      <c r="AU47" s="484">
        <f t="shared" si="0"/>
        <v>0</v>
      </c>
      <c r="AV47" s="484"/>
      <c r="AW47" s="497"/>
      <c r="AX47" s="498"/>
      <c r="AY47" s="499"/>
      <c r="AZ47" s="499"/>
      <c r="BA47" s="499"/>
      <c r="BG47" s="488">
        <f t="shared" si="10"/>
        <v>2700</v>
      </c>
      <c r="BH47" s="492">
        <v>20000</v>
      </c>
    </row>
    <row r="48" spans="1:61" s="81" customFormat="1" ht="59.25" customHeight="1">
      <c r="A48" s="489" t="s">
        <v>1031</v>
      </c>
      <c r="B48" s="514" t="s">
        <v>1080</v>
      </c>
      <c r="C48" s="480"/>
      <c r="D48" s="480"/>
      <c r="E48" s="480"/>
      <c r="F48" s="480"/>
      <c r="G48" s="480"/>
      <c r="H48" s="480"/>
      <c r="I48" s="480"/>
      <c r="J48" s="481"/>
      <c r="K48" s="482"/>
      <c r="L48" s="482"/>
      <c r="M48" s="482"/>
      <c r="N48" s="482"/>
      <c r="O48" s="482"/>
      <c r="P48" s="482"/>
      <c r="Q48" s="482"/>
      <c r="R48" s="482"/>
      <c r="S48" s="515"/>
      <c r="T48" s="515"/>
      <c r="U48" s="482"/>
      <c r="V48" s="482"/>
      <c r="W48" s="482"/>
      <c r="X48" s="482"/>
      <c r="Y48" s="482"/>
      <c r="Z48" s="482"/>
      <c r="AA48" s="482"/>
      <c r="AB48" s="482">
        <f>AB49+AB50+AB51+AB53</f>
        <v>1028</v>
      </c>
      <c r="AC48" s="482">
        <f t="shared" ref="AC48:AG48" si="14">AC49+AC50+AC51+AC53</f>
        <v>1028</v>
      </c>
      <c r="AD48" s="482">
        <f t="shared" si="14"/>
        <v>0</v>
      </c>
      <c r="AE48" s="482">
        <f t="shared" si="14"/>
        <v>0</v>
      </c>
      <c r="AF48" s="482">
        <f t="shared" si="14"/>
        <v>0</v>
      </c>
      <c r="AG48" s="482">
        <f t="shared" si="14"/>
        <v>0</v>
      </c>
      <c r="AH48" s="482">
        <f>AH49+AH50+AH51+AH52+AH53</f>
        <v>1028</v>
      </c>
      <c r="AI48" s="482">
        <f t="shared" ref="AI48:AS48" si="15">AI49+AI50+AI51+AI52+AI53</f>
        <v>1028</v>
      </c>
      <c r="AJ48" s="482">
        <f t="shared" si="15"/>
        <v>0</v>
      </c>
      <c r="AK48" s="482">
        <f t="shared" si="15"/>
        <v>0</v>
      </c>
      <c r="AL48" s="482">
        <f t="shared" si="15"/>
        <v>1543</v>
      </c>
      <c r="AM48" s="482">
        <f t="shared" si="15"/>
        <v>1543</v>
      </c>
      <c r="AN48" s="482">
        <f t="shared" si="15"/>
        <v>0</v>
      </c>
      <c r="AO48" s="482">
        <f t="shared" si="15"/>
        <v>0</v>
      </c>
      <c r="AP48" s="482">
        <f t="shared" si="15"/>
        <v>23994</v>
      </c>
      <c r="AQ48" s="482">
        <f t="shared" si="15"/>
        <v>23994</v>
      </c>
      <c r="AR48" s="482">
        <f t="shared" si="15"/>
        <v>0</v>
      </c>
      <c r="AS48" s="482">
        <f t="shared" si="15"/>
        <v>0</v>
      </c>
      <c r="AT48" s="483"/>
      <c r="AU48" s="489"/>
      <c r="AV48" s="489"/>
      <c r="AW48" s="485"/>
      <c r="AX48" s="486"/>
      <c r="AY48" s="487"/>
      <c r="AZ48" s="487"/>
      <c r="BA48" s="487"/>
      <c r="BG48" s="516">
        <f t="shared" si="10"/>
        <v>-22451</v>
      </c>
    </row>
    <row r="49" spans="1:59" s="81" customFormat="1" ht="59.25" customHeight="1">
      <c r="A49" s="517">
        <v>1</v>
      </c>
      <c r="B49" s="518" t="s">
        <v>727</v>
      </c>
      <c r="C49" s="480"/>
      <c r="D49" s="480"/>
      <c r="E49" s="480"/>
      <c r="F49" s="480"/>
      <c r="G49" s="480"/>
      <c r="H49" s="480"/>
      <c r="I49" s="480"/>
      <c r="J49" s="481"/>
      <c r="K49" s="519"/>
      <c r="L49" s="519"/>
      <c r="M49" s="519"/>
      <c r="N49" s="519"/>
      <c r="O49" s="519"/>
      <c r="P49" s="519"/>
      <c r="Q49" s="496">
        <f t="shared" ref="Q49:Q51" si="16">M49+X49</f>
        <v>0</v>
      </c>
      <c r="R49" s="496">
        <f t="shared" ref="R49:R51" si="17">N49+Y49</f>
        <v>0</v>
      </c>
      <c r="S49" s="482"/>
      <c r="T49" s="482"/>
      <c r="U49" s="482"/>
      <c r="V49" s="482"/>
      <c r="W49" s="482"/>
      <c r="X49" s="519"/>
      <c r="Y49" s="519"/>
      <c r="Z49" s="519"/>
      <c r="AA49" s="519"/>
      <c r="AB49" s="520">
        <v>492</v>
      </c>
      <c r="AC49" s="520">
        <v>492</v>
      </c>
      <c r="AD49" s="519"/>
      <c r="AE49" s="519"/>
      <c r="AF49" s="519"/>
      <c r="AG49" s="519"/>
      <c r="AH49" s="496">
        <f t="shared" ref="AH49:AH51" si="18">X49+AB49</f>
        <v>492</v>
      </c>
      <c r="AI49" s="496">
        <f t="shared" ref="AI49:AI51" si="19">Y49+AC49</f>
        <v>492</v>
      </c>
      <c r="AJ49" s="482"/>
      <c r="AK49" s="482"/>
      <c r="AL49" s="482">
        <f t="shared" ref="AL49:AL51" si="20">AP49</f>
        <v>455</v>
      </c>
      <c r="AM49" s="482">
        <f t="shared" ref="AM49:AM51" si="21">AQ49</f>
        <v>455</v>
      </c>
      <c r="AN49" s="482">
        <f t="shared" ref="AN49:AN51" si="22">AR49</f>
        <v>0</v>
      </c>
      <c r="AO49" s="482">
        <f t="shared" ref="AO49:AO51" si="23">AS49</f>
        <v>0</v>
      </c>
      <c r="AP49" s="520">
        <f t="shared" ref="AP49:AP53" si="24">AQ49</f>
        <v>455</v>
      </c>
      <c r="AQ49" s="520">
        <v>455</v>
      </c>
      <c r="AR49" s="520"/>
      <c r="AS49" s="519"/>
      <c r="AT49" s="494"/>
      <c r="AU49" s="484">
        <f t="shared" ref="AU49:AU53" si="25">AP49-AQ49</f>
        <v>0</v>
      </c>
      <c r="AV49" s="484">
        <f t="shared" ref="AV49:AV51" si="26">V49-AA49</f>
        <v>0</v>
      </c>
      <c r="AW49" s="521"/>
      <c r="AX49" s="486"/>
      <c r="AY49" s="487"/>
      <c r="AZ49" s="487"/>
      <c r="BA49" s="487"/>
      <c r="BG49" s="488">
        <f t="shared" si="10"/>
        <v>0</v>
      </c>
    </row>
    <row r="50" spans="1:59" s="81" customFormat="1" ht="59.25" customHeight="1">
      <c r="A50" s="517">
        <v>2</v>
      </c>
      <c r="B50" s="518" t="s">
        <v>1032</v>
      </c>
      <c r="C50" s="480"/>
      <c r="D50" s="480"/>
      <c r="E50" s="480"/>
      <c r="F50" s="480"/>
      <c r="G50" s="480"/>
      <c r="H50" s="480"/>
      <c r="I50" s="480"/>
      <c r="J50" s="481"/>
      <c r="K50" s="519"/>
      <c r="L50" s="519"/>
      <c r="M50" s="519"/>
      <c r="N50" s="519"/>
      <c r="O50" s="519"/>
      <c r="P50" s="519"/>
      <c r="Q50" s="496">
        <f t="shared" si="16"/>
        <v>0</v>
      </c>
      <c r="R50" s="496">
        <f t="shared" si="17"/>
        <v>0</v>
      </c>
      <c r="S50" s="482"/>
      <c r="T50" s="482"/>
      <c r="U50" s="482"/>
      <c r="V50" s="482"/>
      <c r="W50" s="482"/>
      <c r="X50" s="519"/>
      <c r="Y50" s="519"/>
      <c r="Z50" s="519"/>
      <c r="AA50" s="519"/>
      <c r="AB50" s="520">
        <v>483</v>
      </c>
      <c r="AC50" s="520">
        <v>483</v>
      </c>
      <c r="AD50" s="519"/>
      <c r="AE50" s="519"/>
      <c r="AF50" s="519"/>
      <c r="AG50" s="519"/>
      <c r="AH50" s="496">
        <f t="shared" si="18"/>
        <v>483</v>
      </c>
      <c r="AI50" s="496">
        <f t="shared" si="19"/>
        <v>483</v>
      </c>
      <c r="AJ50" s="482"/>
      <c r="AK50" s="482"/>
      <c r="AL50" s="482">
        <f t="shared" si="20"/>
        <v>916</v>
      </c>
      <c r="AM50" s="482">
        <f t="shared" si="21"/>
        <v>916</v>
      </c>
      <c r="AN50" s="482">
        <f t="shared" si="22"/>
        <v>0</v>
      </c>
      <c r="AO50" s="482">
        <f t="shared" si="23"/>
        <v>0</v>
      </c>
      <c r="AP50" s="520">
        <f t="shared" si="24"/>
        <v>916</v>
      </c>
      <c r="AQ50" s="520">
        <v>916</v>
      </c>
      <c r="AR50" s="520"/>
      <c r="AS50" s="519"/>
      <c r="AT50" s="494"/>
      <c r="AU50" s="484">
        <f t="shared" si="25"/>
        <v>0</v>
      </c>
      <c r="AV50" s="484">
        <f t="shared" si="26"/>
        <v>0</v>
      </c>
      <c r="AW50" s="521"/>
      <c r="AX50" s="486"/>
      <c r="AY50" s="487"/>
      <c r="AZ50" s="487"/>
      <c r="BA50" s="487"/>
      <c r="BG50" s="488">
        <f t="shared" si="10"/>
        <v>0</v>
      </c>
    </row>
    <row r="51" spans="1:59" s="81" customFormat="1" ht="59.25" customHeight="1">
      <c r="A51" s="517">
        <v>3</v>
      </c>
      <c r="B51" s="522" t="s">
        <v>1033</v>
      </c>
      <c r="C51" s="480"/>
      <c r="D51" s="480"/>
      <c r="E51" s="480"/>
      <c r="F51" s="480"/>
      <c r="G51" s="480"/>
      <c r="H51" s="480"/>
      <c r="I51" s="480"/>
      <c r="J51" s="481"/>
      <c r="K51" s="519"/>
      <c r="L51" s="519"/>
      <c r="M51" s="519"/>
      <c r="N51" s="519"/>
      <c r="O51" s="519"/>
      <c r="P51" s="519"/>
      <c r="Q51" s="496">
        <f t="shared" si="16"/>
        <v>0</v>
      </c>
      <c r="R51" s="496">
        <f t="shared" si="17"/>
        <v>0</v>
      </c>
      <c r="S51" s="482"/>
      <c r="T51" s="482"/>
      <c r="U51" s="482"/>
      <c r="V51" s="482"/>
      <c r="W51" s="482"/>
      <c r="X51" s="519"/>
      <c r="Y51" s="519"/>
      <c r="Z51" s="519"/>
      <c r="AA51" s="519"/>
      <c r="AB51" s="520">
        <v>53</v>
      </c>
      <c r="AC51" s="520">
        <v>53</v>
      </c>
      <c r="AD51" s="519"/>
      <c r="AE51" s="519"/>
      <c r="AF51" s="519"/>
      <c r="AG51" s="519"/>
      <c r="AH51" s="496">
        <f t="shared" si="18"/>
        <v>53</v>
      </c>
      <c r="AI51" s="496">
        <f t="shared" si="19"/>
        <v>53</v>
      </c>
      <c r="AJ51" s="482"/>
      <c r="AK51" s="482"/>
      <c r="AL51" s="482">
        <f t="shared" si="20"/>
        <v>172</v>
      </c>
      <c r="AM51" s="482">
        <f t="shared" si="21"/>
        <v>172</v>
      </c>
      <c r="AN51" s="482">
        <f t="shared" si="22"/>
        <v>0</v>
      </c>
      <c r="AO51" s="482">
        <f t="shared" si="23"/>
        <v>0</v>
      </c>
      <c r="AP51" s="520">
        <f t="shared" si="24"/>
        <v>172</v>
      </c>
      <c r="AQ51" s="520">
        <v>172</v>
      </c>
      <c r="AR51" s="520"/>
      <c r="AS51" s="519"/>
      <c r="AT51" s="494"/>
      <c r="AU51" s="484">
        <f t="shared" si="25"/>
        <v>0</v>
      </c>
      <c r="AV51" s="484">
        <f t="shared" si="26"/>
        <v>0</v>
      </c>
      <c r="AW51" s="521"/>
      <c r="AX51" s="486"/>
      <c r="AY51" s="487"/>
      <c r="AZ51" s="487"/>
      <c r="BA51" s="487"/>
      <c r="BG51" s="488">
        <f t="shared" si="10"/>
        <v>0</v>
      </c>
    </row>
    <row r="52" spans="1:59" s="81" customFormat="1" ht="59.25" customHeight="1">
      <c r="A52" s="517">
        <v>4</v>
      </c>
      <c r="B52" s="522" t="s">
        <v>1086</v>
      </c>
      <c r="C52" s="480"/>
      <c r="D52" s="480"/>
      <c r="E52" s="480"/>
      <c r="F52" s="480"/>
      <c r="G52" s="480"/>
      <c r="H52" s="480"/>
      <c r="I52" s="480"/>
      <c r="J52" s="481"/>
      <c r="K52" s="519"/>
      <c r="L52" s="519"/>
      <c r="M52" s="519"/>
      <c r="N52" s="519"/>
      <c r="O52" s="519"/>
      <c r="P52" s="519"/>
      <c r="Q52" s="496"/>
      <c r="R52" s="496"/>
      <c r="S52" s="482"/>
      <c r="T52" s="482"/>
      <c r="U52" s="482"/>
      <c r="V52" s="482"/>
      <c r="W52" s="482"/>
      <c r="X52" s="519"/>
      <c r="Y52" s="519"/>
      <c r="Z52" s="519"/>
      <c r="AA52" s="519"/>
      <c r="AB52" s="520"/>
      <c r="AC52" s="520"/>
      <c r="AD52" s="519"/>
      <c r="AE52" s="519"/>
      <c r="AF52" s="519"/>
      <c r="AG52" s="519"/>
      <c r="AH52" s="496"/>
      <c r="AI52" s="496"/>
      <c r="AJ52" s="482"/>
      <c r="AK52" s="482"/>
      <c r="AL52" s="482"/>
      <c r="AM52" s="482"/>
      <c r="AN52" s="482"/>
      <c r="AO52" s="482"/>
      <c r="AP52" s="520">
        <f t="shared" si="24"/>
        <v>51</v>
      </c>
      <c r="AQ52" s="520">
        <v>51</v>
      </c>
      <c r="AR52" s="520"/>
      <c r="AS52" s="519"/>
      <c r="AT52" s="494"/>
      <c r="AU52" s="484">
        <f t="shared" si="25"/>
        <v>0</v>
      </c>
      <c r="AV52" s="484"/>
      <c r="AW52" s="521"/>
      <c r="AX52" s="486"/>
      <c r="AY52" s="487"/>
      <c r="AZ52" s="487"/>
      <c r="BA52" s="487"/>
      <c r="BG52" s="488"/>
    </row>
    <row r="53" spans="1:59" s="81" customFormat="1" ht="59.25" customHeight="1">
      <c r="A53" s="517">
        <v>5</v>
      </c>
      <c r="B53" s="522" t="s">
        <v>1038</v>
      </c>
      <c r="C53" s="480"/>
      <c r="D53" s="480"/>
      <c r="E53" s="480"/>
      <c r="F53" s="480"/>
      <c r="G53" s="480"/>
      <c r="H53" s="480"/>
      <c r="I53" s="480"/>
      <c r="J53" s="481"/>
      <c r="K53" s="519"/>
      <c r="L53" s="519"/>
      <c r="M53" s="519"/>
      <c r="N53" s="519"/>
      <c r="O53" s="519"/>
      <c r="P53" s="519"/>
      <c r="Q53" s="496"/>
      <c r="R53" s="496"/>
      <c r="S53" s="482"/>
      <c r="T53" s="482"/>
      <c r="U53" s="482"/>
      <c r="V53" s="482"/>
      <c r="W53" s="482"/>
      <c r="X53" s="519"/>
      <c r="Y53" s="519"/>
      <c r="Z53" s="519"/>
      <c r="AA53" s="519"/>
      <c r="AB53" s="520"/>
      <c r="AC53" s="520"/>
      <c r="AD53" s="519"/>
      <c r="AE53" s="519"/>
      <c r="AF53" s="519"/>
      <c r="AG53" s="519"/>
      <c r="AH53" s="482"/>
      <c r="AI53" s="482"/>
      <c r="AJ53" s="482"/>
      <c r="AK53" s="482"/>
      <c r="AL53" s="482"/>
      <c r="AM53" s="482"/>
      <c r="AN53" s="482"/>
      <c r="AO53" s="482"/>
      <c r="AP53" s="520">
        <f t="shared" si="24"/>
        <v>22400</v>
      </c>
      <c r="AQ53" s="520">
        <v>22400</v>
      </c>
      <c r="AR53" s="520"/>
      <c r="AS53" s="519"/>
      <c r="AT53" s="494"/>
      <c r="AU53" s="484">
        <f t="shared" si="25"/>
        <v>0</v>
      </c>
      <c r="AV53" s="484"/>
      <c r="AW53" s="521"/>
      <c r="AX53" s="486"/>
      <c r="AY53" s="487"/>
      <c r="AZ53" s="487"/>
      <c r="BA53" s="487"/>
      <c r="BG53" s="488"/>
    </row>
    <row r="54" spans="1:59" s="82" customFormat="1" ht="59.25" hidden="1" customHeight="1">
      <c r="A54" s="484"/>
      <c r="B54" s="493"/>
      <c r="C54" s="494"/>
      <c r="D54" s="494"/>
      <c r="E54" s="494"/>
      <c r="F54" s="494"/>
      <c r="G54" s="494"/>
      <c r="H54" s="494"/>
      <c r="I54" s="494"/>
      <c r="J54" s="495"/>
      <c r="K54" s="496"/>
      <c r="L54" s="496"/>
      <c r="M54" s="496"/>
      <c r="N54" s="496"/>
      <c r="O54" s="496"/>
      <c r="P54" s="496"/>
      <c r="Q54" s="496"/>
      <c r="R54" s="496"/>
      <c r="S54" s="513"/>
      <c r="T54" s="513"/>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1"/>
      <c r="AU54" s="484"/>
      <c r="AV54" s="484"/>
      <c r="AW54" s="497"/>
      <c r="AX54" s="498"/>
      <c r="AY54" s="499"/>
      <c r="AZ54" s="499"/>
      <c r="BA54" s="499"/>
      <c r="BG54" s="488">
        <f t="shared" si="10"/>
        <v>0</v>
      </c>
    </row>
    <row r="55" spans="1:59" s="81" customFormat="1" ht="59.25" customHeight="1">
      <c r="A55" s="489" t="s">
        <v>82</v>
      </c>
      <c r="B55" s="490" t="s">
        <v>320</v>
      </c>
      <c r="C55" s="480"/>
      <c r="D55" s="480"/>
      <c r="E55" s="480"/>
      <c r="F55" s="480"/>
      <c r="G55" s="480"/>
      <c r="H55" s="480"/>
      <c r="I55" s="480"/>
      <c r="J55" s="481"/>
      <c r="K55" s="482">
        <f t="shared" ref="K55:AS55" si="27">K58+K481+K509</f>
        <v>8922940.6993880011</v>
      </c>
      <c r="L55" s="482">
        <f t="shared" si="27"/>
        <v>2603085.1723489999</v>
      </c>
      <c r="M55" s="482">
        <f t="shared" si="27"/>
        <v>1771246.1459999999</v>
      </c>
      <c r="N55" s="482">
        <f t="shared" si="27"/>
        <v>189042</v>
      </c>
      <c r="O55" s="482">
        <f t="shared" si="27"/>
        <v>840416.45600000001</v>
      </c>
      <c r="P55" s="482">
        <f t="shared" si="27"/>
        <v>243619</v>
      </c>
      <c r="Q55" s="482">
        <f t="shared" si="27"/>
        <v>2071768.2459999998</v>
      </c>
      <c r="R55" s="482">
        <f t="shared" si="27"/>
        <v>361411.7</v>
      </c>
      <c r="S55" s="482">
        <f t="shared" si="27"/>
        <v>3951639.448388</v>
      </c>
      <c r="T55" s="482">
        <f t="shared" si="27"/>
        <v>2338428.3723490001</v>
      </c>
      <c r="U55" s="482">
        <f t="shared" si="27"/>
        <v>10993</v>
      </c>
      <c r="V55" s="482">
        <f t="shared" si="27"/>
        <v>14529</v>
      </c>
      <c r="W55" s="482">
        <f t="shared" si="27"/>
        <v>2872168.8</v>
      </c>
      <c r="X55" s="482">
        <f t="shared" si="27"/>
        <v>298229.09999999998</v>
      </c>
      <c r="Y55" s="482">
        <f t="shared" si="27"/>
        <v>177403.7</v>
      </c>
      <c r="Z55" s="482">
        <f t="shared" si="27"/>
        <v>0</v>
      </c>
      <c r="AA55" s="482">
        <f t="shared" si="27"/>
        <v>13371</v>
      </c>
      <c r="AB55" s="482">
        <f t="shared" si="27"/>
        <v>819983.69326000009</v>
      </c>
      <c r="AC55" s="482">
        <f t="shared" si="27"/>
        <v>532785.69325999997</v>
      </c>
      <c r="AD55" s="482">
        <f t="shared" si="27"/>
        <v>11847.79326</v>
      </c>
      <c r="AE55" s="482">
        <f t="shared" si="27"/>
        <v>397</v>
      </c>
      <c r="AF55" s="482">
        <f t="shared" si="27"/>
        <v>121345.56517299998</v>
      </c>
      <c r="AG55" s="482">
        <f t="shared" si="27"/>
        <v>196283.58085100001</v>
      </c>
      <c r="AH55" s="482">
        <f t="shared" si="27"/>
        <v>1076592.7932599999</v>
      </c>
      <c r="AI55" s="482">
        <f t="shared" si="27"/>
        <v>587071.49326000002</v>
      </c>
      <c r="AJ55" s="482">
        <f t="shared" si="27"/>
        <v>0</v>
      </c>
      <c r="AK55" s="482">
        <f t="shared" si="27"/>
        <v>0</v>
      </c>
      <c r="AL55" s="482">
        <f t="shared" si="27"/>
        <v>727709.94007333333</v>
      </c>
      <c r="AM55" s="482">
        <f t="shared" si="27"/>
        <v>698392.94007333333</v>
      </c>
      <c r="AN55" s="482" t="e">
        <f t="shared" si="27"/>
        <v>#REF!</v>
      </c>
      <c r="AO55" s="482" t="e">
        <f t="shared" si="27"/>
        <v>#VALUE!</v>
      </c>
      <c r="AP55" s="482">
        <f t="shared" si="27"/>
        <v>668647</v>
      </c>
      <c r="AQ55" s="482">
        <f t="shared" si="27"/>
        <v>628530</v>
      </c>
      <c r="AR55" s="482">
        <f t="shared" si="27"/>
        <v>51000</v>
      </c>
      <c r="AS55" s="482">
        <f t="shared" si="27"/>
        <v>0</v>
      </c>
      <c r="AT55" s="483">
        <f>AQ60+AQ86+AQ116+AQ139+AQ172+AQ196+AQ221+AQ250+AQ277+AQ304+AQ312+AQ342+AQ349+AQ393+AQ435+AQ463+AQ481+AQ509</f>
        <v>628530</v>
      </c>
      <c r="AU55" s="484">
        <f t="shared" si="0"/>
        <v>40117</v>
      </c>
      <c r="AV55" s="489"/>
      <c r="AW55" s="485"/>
      <c r="AX55" s="486"/>
      <c r="AY55" s="487"/>
      <c r="AZ55" s="487"/>
      <c r="BA55" s="487"/>
      <c r="BG55" s="488">
        <f t="shared" si="10"/>
        <v>99179.940073333331</v>
      </c>
    </row>
    <row r="56" spans="1:59" s="81" customFormat="1" ht="107.25" customHeight="1">
      <c r="A56" s="523">
        <v>1</v>
      </c>
      <c r="B56" s="524" t="s">
        <v>1053</v>
      </c>
      <c r="C56" s="480"/>
      <c r="D56" s="480"/>
      <c r="E56" s="480"/>
      <c r="F56" s="480"/>
      <c r="G56" s="480"/>
      <c r="H56" s="480"/>
      <c r="I56" s="480"/>
      <c r="J56" s="481"/>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525">
        <f>AQ56</f>
        <v>50000</v>
      </c>
      <c r="AQ56" s="525">
        <v>50000</v>
      </c>
      <c r="AR56" s="525">
        <f>AQ56</f>
        <v>50000</v>
      </c>
      <c r="AS56" s="482"/>
      <c r="AT56" s="506" t="s">
        <v>1055</v>
      </c>
      <c r="AU56" s="484"/>
      <c r="AV56" s="489"/>
      <c r="AW56" s="485"/>
      <c r="AX56" s="486"/>
      <c r="AY56" s="487"/>
      <c r="AZ56" s="487"/>
      <c r="BA56" s="487"/>
      <c r="BG56" s="488"/>
    </row>
    <row r="57" spans="1:59" s="80" customFormat="1" ht="59.25" customHeight="1">
      <c r="A57" s="489">
        <v>2</v>
      </c>
      <c r="B57" s="524" t="s">
        <v>321</v>
      </c>
      <c r="C57" s="526"/>
      <c r="D57" s="526"/>
      <c r="E57" s="526"/>
      <c r="F57" s="526"/>
      <c r="G57" s="526"/>
      <c r="H57" s="526"/>
      <c r="I57" s="526"/>
      <c r="J57" s="527"/>
      <c r="K57" s="525"/>
      <c r="L57" s="525"/>
      <c r="M57" s="525"/>
      <c r="N57" s="525"/>
      <c r="O57" s="525"/>
      <c r="P57" s="525"/>
      <c r="Q57" s="525"/>
      <c r="R57" s="525"/>
      <c r="S57" s="528"/>
      <c r="T57" s="528"/>
      <c r="U57" s="525"/>
      <c r="V57" s="525"/>
      <c r="W57" s="525"/>
      <c r="X57" s="525"/>
      <c r="Y57" s="525"/>
      <c r="Z57" s="525"/>
      <c r="AA57" s="525"/>
      <c r="AB57" s="525"/>
      <c r="AC57" s="525"/>
      <c r="AD57" s="525"/>
      <c r="AE57" s="525"/>
      <c r="AF57" s="525"/>
      <c r="AG57" s="525"/>
      <c r="AH57" s="525"/>
      <c r="AI57" s="525"/>
      <c r="AJ57" s="525"/>
      <c r="AK57" s="525"/>
      <c r="AL57" s="525">
        <f>AM57</f>
        <v>110907.20000000001</v>
      </c>
      <c r="AM57" s="525">
        <f>AQ57</f>
        <v>110907.20000000001</v>
      </c>
      <c r="AN57" s="525"/>
      <c r="AO57" s="525"/>
      <c r="AP57" s="525">
        <f>AQ57</f>
        <v>110907.20000000001</v>
      </c>
      <c r="AQ57" s="525">
        <f>(AQ55-AQ56-AQ48)*20%</f>
        <v>110907.20000000001</v>
      </c>
      <c r="AR57" s="525"/>
      <c r="AS57" s="525"/>
      <c r="AT57" s="529"/>
      <c r="AU57" s="523">
        <f t="shared" si="0"/>
        <v>0</v>
      </c>
      <c r="AV57" s="523"/>
      <c r="AW57" s="530"/>
      <c r="AX57" s="531"/>
      <c r="AY57" s="532"/>
      <c r="AZ57" s="532"/>
      <c r="BA57" s="532"/>
      <c r="BG57" s="511">
        <f t="shared" si="10"/>
        <v>0</v>
      </c>
    </row>
    <row r="58" spans="1:59" s="81" customFormat="1" ht="59.25" customHeight="1">
      <c r="A58" s="489" t="s">
        <v>322</v>
      </c>
      <c r="B58" s="490" t="s">
        <v>323</v>
      </c>
      <c r="C58" s="480"/>
      <c r="D58" s="480"/>
      <c r="E58" s="480"/>
      <c r="F58" s="480"/>
      <c r="G58" s="480"/>
      <c r="H58" s="480"/>
      <c r="I58" s="480"/>
      <c r="J58" s="481"/>
      <c r="K58" s="482">
        <f t="shared" ref="K58:AI58" si="28">K60+K86+K116+K139+K172+K196+K221+K250+K277+K304+K312+K342+K349+K393+K435+K463</f>
        <v>8838997.6993880011</v>
      </c>
      <c r="L58" s="482">
        <f t="shared" si="28"/>
        <v>2564142.1723489999</v>
      </c>
      <c r="M58" s="482">
        <f t="shared" si="28"/>
        <v>1771246.1459999999</v>
      </c>
      <c r="N58" s="482">
        <f t="shared" si="28"/>
        <v>189042</v>
      </c>
      <c r="O58" s="482">
        <f t="shared" si="28"/>
        <v>840416.45600000001</v>
      </c>
      <c r="P58" s="482">
        <f t="shared" si="28"/>
        <v>243619</v>
      </c>
      <c r="Q58" s="482">
        <f t="shared" si="28"/>
        <v>2071768.2459999998</v>
      </c>
      <c r="R58" s="482">
        <f t="shared" si="28"/>
        <v>361411.7</v>
      </c>
      <c r="S58" s="482">
        <f t="shared" si="28"/>
        <v>3833641.448388</v>
      </c>
      <c r="T58" s="482">
        <f t="shared" si="28"/>
        <v>2243180.3723490001</v>
      </c>
      <c r="U58" s="482">
        <f t="shared" si="28"/>
        <v>10993</v>
      </c>
      <c r="V58" s="482">
        <f t="shared" si="28"/>
        <v>14529</v>
      </c>
      <c r="W58" s="482">
        <f t="shared" si="28"/>
        <v>2859074.8</v>
      </c>
      <c r="X58" s="482">
        <f t="shared" si="28"/>
        <v>298229.09999999998</v>
      </c>
      <c r="Y58" s="482">
        <f t="shared" si="28"/>
        <v>177403.7</v>
      </c>
      <c r="Z58" s="482">
        <f t="shared" si="28"/>
        <v>0</v>
      </c>
      <c r="AA58" s="482">
        <f t="shared" si="28"/>
        <v>13371</v>
      </c>
      <c r="AB58" s="482">
        <f t="shared" si="28"/>
        <v>667915.69326000009</v>
      </c>
      <c r="AC58" s="482">
        <f t="shared" si="28"/>
        <v>380717.69325999997</v>
      </c>
      <c r="AD58" s="482">
        <f t="shared" si="28"/>
        <v>11847.79326</v>
      </c>
      <c r="AE58" s="482">
        <f t="shared" si="28"/>
        <v>397</v>
      </c>
      <c r="AF58" s="482">
        <f t="shared" si="28"/>
        <v>121345.56517299998</v>
      </c>
      <c r="AG58" s="482">
        <f t="shared" si="28"/>
        <v>196283.58085100001</v>
      </c>
      <c r="AH58" s="482">
        <f t="shared" si="28"/>
        <v>1011816.7932599999</v>
      </c>
      <c r="AI58" s="482">
        <f t="shared" si="28"/>
        <v>569342.49326000002</v>
      </c>
      <c r="AJ58" s="482"/>
      <c r="AK58" s="482"/>
      <c r="AL58" s="482">
        <f t="shared" ref="AL58:AS58" si="29">AL60+AL86+AL116+AL139+AL172+AL196+AL221+AL250+AL277+AL304+AL312+AL342+AL349+AL393+AL435+AL463</f>
        <v>681015.94007333333</v>
      </c>
      <c r="AM58" s="482">
        <f t="shared" si="29"/>
        <v>651698.94007333333</v>
      </c>
      <c r="AN58" s="482" t="e">
        <f t="shared" si="29"/>
        <v>#REF!</v>
      </c>
      <c r="AO58" s="482" t="e">
        <f t="shared" si="29"/>
        <v>#VALUE!</v>
      </c>
      <c r="AP58" s="482">
        <f t="shared" si="29"/>
        <v>623153</v>
      </c>
      <c r="AQ58" s="482">
        <f t="shared" si="29"/>
        <v>584536</v>
      </c>
      <c r="AR58" s="482">
        <f t="shared" si="29"/>
        <v>51000</v>
      </c>
      <c r="AS58" s="482">
        <f t="shared" si="29"/>
        <v>0</v>
      </c>
      <c r="AT58" s="483"/>
      <c r="AU58" s="484">
        <f>AP58-AQ58</f>
        <v>38617</v>
      </c>
      <c r="AV58" s="489"/>
      <c r="AW58" s="485"/>
      <c r="AX58" s="486"/>
      <c r="AY58" s="487"/>
      <c r="AZ58" s="487"/>
      <c r="BA58" s="487"/>
      <c r="BG58" s="488">
        <f t="shared" si="10"/>
        <v>96479.940073333331</v>
      </c>
    </row>
    <row r="59" spans="1:59" s="81" customFormat="1" ht="59.25" customHeight="1">
      <c r="A59" s="478"/>
      <c r="B59" s="479" t="s">
        <v>331</v>
      </c>
      <c r="C59" s="480"/>
      <c r="D59" s="480"/>
      <c r="E59" s="480"/>
      <c r="F59" s="480"/>
      <c r="G59" s="480"/>
      <c r="H59" s="480"/>
      <c r="I59" s="480"/>
      <c r="J59" s="481"/>
      <c r="K59" s="482"/>
      <c r="L59" s="482"/>
      <c r="M59" s="482"/>
      <c r="N59" s="482"/>
      <c r="O59" s="482"/>
      <c r="P59" s="482"/>
      <c r="Q59" s="482"/>
      <c r="R59" s="482"/>
      <c r="S59" s="482"/>
      <c r="T59" s="482"/>
      <c r="U59" s="482"/>
      <c r="V59" s="482"/>
      <c r="W59" s="482"/>
      <c r="X59" s="482"/>
      <c r="Y59" s="482"/>
      <c r="Z59" s="482"/>
      <c r="AA59" s="482"/>
      <c r="AB59" s="482"/>
      <c r="AC59" s="482">
        <v>44377</v>
      </c>
      <c r="AD59" s="482"/>
      <c r="AE59" s="482"/>
      <c r="AF59" s="482"/>
      <c r="AG59" s="482"/>
      <c r="AH59" s="482"/>
      <c r="AI59" s="482"/>
      <c r="AJ59" s="482"/>
      <c r="AK59" s="482"/>
      <c r="AL59" s="482"/>
      <c r="AM59" s="482"/>
      <c r="AN59" s="482"/>
      <c r="AO59" s="482"/>
      <c r="AP59" s="482"/>
      <c r="AQ59" s="482">
        <v>46527</v>
      </c>
      <c r="AR59" s="482"/>
      <c r="AS59" s="482"/>
      <c r="AT59" s="491">
        <f>AQ59-AQ60</f>
        <v>0</v>
      </c>
      <c r="AU59" s="484">
        <f t="shared" si="0"/>
        <v>-46527</v>
      </c>
      <c r="AV59" s="484">
        <f>V59-AA59</f>
        <v>0</v>
      </c>
      <c r="AW59" s="485"/>
      <c r="AX59" s="486"/>
      <c r="AY59" s="487"/>
      <c r="AZ59" s="487"/>
      <c r="BA59" s="487"/>
      <c r="BG59" s="488">
        <f t="shared" si="10"/>
        <v>-46527</v>
      </c>
    </row>
    <row r="60" spans="1:59" s="81" customFormat="1" ht="59.25" customHeight="1">
      <c r="A60" s="533" t="s">
        <v>32</v>
      </c>
      <c r="B60" s="534" t="s">
        <v>332</v>
      </c>
      <c r="C60" s="480"/>
      <c r="D60" s="480"/>
      <c r="E60" s="480"/>
      <c r="F60" s="480"/>
      <c r="G60" s="480"/>
      <c r="H60" s="535"/>
      <c r="I60" s="480"/>
      <c r="J60" s="481"/>
      <c r="K60" s="519">
        <f t="shared" ref="K60:AS60" si="30">K61+K67+K77+K80</f>
        <v>489906.69999999995</v>
      </c>
      <c r="L60" s="519">
        <f t="shared" si="30"/>
        <v>255422.9</v>
      </c>
      <c r="M60" s="519">
        <f t="shared" si="30"/>
        <v>79806</v>
      </c>
      <c r="N60" s="519">
        <f t="shared" si="30"/>
        <v>1400</v>
      </c>
      <c r="O60" s="519">
        <f t="shared" si="30"/>
        <v>61584</v>
      </c>
      <c r="P60" s="519">
        <f t="shared" si="30"/>
        <v>1400</v>
      </c>
      <c r="Q60" s="519">
        <f t="shared" si="30"/>
        <v>90017</v>
      </c>
      <c r="R60" s="519">
        <f t="shared" si="30"/>
        <v>11209.6</v>
      </c>
      <c r="S60" s="519">
        <f t="shared" si="30"/>
        <v>204453</v>
      </c>
      <c r="T60" s="519">
        <f t="shared" si="30"/>
        <v>186231</v>
      </c>
      <c r="U60" s="519">
        <f t="shared" si="30"/>
        <v>0</v>
      </c>
      <c r="V60" s="519">
        <f t="shared" si="30"/>
        <v>0</v>
      </c>
      <c r="W60" s="519">
        <f t="shared" si="30"/>
        <v>100336</v>
      </c>
      <c r="X60" s="519">
        <f t="shared" si="30"/>
        <v>7918</v>
      </c>
      <c r="Y60" s="519">
        <f t="shared" si="30"/>
        <v>14843.6</v>
      </c>
      <c r="Z60" s="519">
        <f t="shared" si="30"/>
        <v>0</v>
      </c>
      <c r="AA60" s="519">
        <f t="shared" si="30"/>
        <v>0</v>
      </c>
      <c r="AB60" s="519">
        <f t="shared" si="30"/>
        <v>26200</v>
      </c>
      <c r="AC60" s="519">
        <f t="shared" si="30"/>
        <v>20200</v>
      </c>
      <c r="AD60" s="519">
        <f t="shared" si="30"/>
        <v>0</v>
      </c>
      <c r="AE60" s="519">
        <f t="shared" si="30"/>
        <v>0</v>
      </c>
      <c r="AF60" s="519">
        <f t="shared" si="30"/>
        <v>3463.8049999999998</v>
      </c>
      <c r="AG60" s="519">
        <f t="shared" si="30"/>
        <v>4704.2269999999999</v>
      </c>
      <c r="AH60" s="519">
        <f t="shared" si="30"/>
        <v>42463</v>
      </c>
      <c r="AI60" s="519">
        <f t="shared" si="30"/>
        <v>36061.599999999999</v>
      </c>
      <c r="AJ60" s="519">
        <f t="shared" si="30"/>
        <v>13373</v>
      </c>
      <c r="AK60" s="519">
        <f t="shared" si="30"/>
        <v>13373</v>
      </c>
      <c r="AL60" s="519">
        <f t="shared" si="30"/>
        <v>44640</v>
      </c>
      <c r="AM60" s="519">
        <f t="shared" si="30"/>
        <v>44640</v>
      </c>
      <c r="AN60" s="519">
        <f t="shared" si="30"/>
        <v>0</v>
      </c>
      <c r="AO60" s="519">
        <f t="shared" si="30"/>
        <v>0</v>
      </c>
      <c r="AP60" s="519">
        <f t="shared" si="30"/>
        <v>46527</v>
      </c>
      <c r="AQ60" s="519">
        <f t="shared" si="30"/>
        <v>46527</v>
      </c>
      <c r="AR60" s="519">
        <f t="shared" si="30"/>
        <v>0</v>
      </c>
      <c r="AS60" s="519">
        <f t="shared" si="30"/>
        <v>0</v>
      </c>
      <c r="AT60" s="491"/>
      <c r="AU60" s="484">
        <f t="shared" si="0"/>
        <v>0</v>
      </c>
      <c r="AV60" s="484"/>
      <c r="AW60" s="536"/>
      <c r="AX60" s="537"/>
      <c r="BG60" s="488">
        <f t="shared" si="10"/>
        <v>-1887</v>
      </c>
    </row>
    <row r="61" spans="1:59" s="80" customFormat="1" ht="59.25" customHeight="1">
      <c r="A61" s="538" t="s">
        <v>305</v>
      </c>
      <c r="B61" s="539" t="s">
        <v>286</v>
      </c>
      <c r="C61" s="526"/>
      <c r="D61" s="526"/>
      <c r="E61" s="526"/>
      <c r="F61" s="526"/>
      <c r="G61" s="526"/>
      <c r="H61" s="540"/>
      <c r="I61" s="526"/>
      <c r="J61" s="527"/>
      <c r="K61" s="482">
        <f>K62+K64</f>
        <v>110230</v>
      </c>
      <c r="L61" s="482">
        <f t="shared" ref="L61:AS61" si="31">L62+L64</f>
        <v>53706</v>
      </c>
      <c r="M61" s="482">
        <f t="shared" si="31"/>
        <v>61584</v>
      </c>
      <c r="N61" s="482">
        <f t="shared" si="31"/>
        <v>1400</v>
      </c>
      <c r="O61" s="482">
        <f t="shared" si="31"/>
        <v>61584</v>
      </c>
      <c r="P61" s="482">
        <f t="shared" si="31"/>
        <v>1400</v>
      </c>
      <c r="Q61" s="482">
        <f t="shared" si="31"/>
        <v>71411</v>
      </c>
      <c r="R61" s="482">
        <f t="shared" si="31"/>
        <v>10825.6</v>
      </c>
      <c r="S61" s="482">
        <f t="shared" si="31"/>
        <v>42630</v>
      </c>
      <c r="T61" s="482">
        <f t="shared" si="31"/>
        <v>42630</v>
      </c>
      <c r="U61" s="482">
        <f t="shared" si="31"/>
        <v>0</v>
      </c>
      <c r="V61" s="482">
        <f t="shared" si="31"/>
        <v>0</v>
      </c>
      <c r="W61" s="482">
        <f t="shared" si="31"/>
        <v>83911</v>
      </c>
      <c r="X61" s="482">
        <f t="shared" si="31"/>
        <v>7500</v>
      </c>
      <c r="Y61" s="482">
        <f t="shared" si="31"/>
        <v>14425.6</v>
      </c>
      <c r="Z61" s="482">
        <f t="shared" si="31"/>
        <v>0</v>
      </c>
      <c r="AA61" s="482">
        <f t="shared" si="31"/>
        <v>0</v>
      </c>
      <c r="AB61" s="482">
        <f t="shared" si="31"/>
        <v>10000</v>
      </c>
      <c r="AC61" s="482">
        <f t="shared" si="31"/>
        <v>4000</v>
      </c>
      <c r="AD61" s="482">
        <f t="shared" si="31"/>
        <v>0</v>
      </c>
      <c r="AE61" s="482">
        <f t="shared" si="31"/>
        <v>0</v>
      </c>
      <c r="AF61" s="482">
        <f t="shared" si="31"/>
        <v>0</v>
      </c>
      <c r="AG61" s="482">
        <f t="shared" si="31"/>
        <v>0</v>
      </c>
      <c r="AH61" s="482">
        <f t="shared" si="31"/>
        <v>24827</v>
      </c>
      <c r="AI61" s="482">
        <f t="shared" si="31"/>
        <v>18425.599999999999</v>
      </c>
      <c r="AJ61" s="482">
        <f t="shared" ref="AJ61:AK61" si="32">AJ62+AJ64</f>
        <v>13373</v>
      </c>
      <c r="AK61" s="482">
        <f t="shared" si="32"/>
        <v>13373</v>
      </c>
      <c r="AL61" s="482">
        <f t="shared" si="31"/>
        <v>12940</v>
      </c>
      <c r="AM61" s="482">
        <f t="shared" si="31"/>
        <v>12940</v>
      </c>
      <c r="AN61" s="482">
        <f t="shared" si="31"/>
        <v>0</v>
      </c>
      <c r="AO61" s="482">
        <f t="shared" si="31"/>
        <v>0</v>
      </c>
      <c r="AP61" s="482">
        <f t="shared" si="31"/>
        <v>10940</v>
      </c>
      <c r="AQ61" s="482">
        <f>AQ62+AQ64</f>
        <v>10940</v>
      </c>
      <c r="AR61" s="482">
        <f t="shared" si="31"/>
        <v>0</v>
      </c>
      <c r="AS61" s="482">
        <f t="shared" si="31"/>
        <v>0</v>
      </c>
      <c r="AT61" s="526"/>
      <c r="AU61" s="484">
        <f t="shared" si="0"/>
        <v>0</v>
      </c>
      <c r="AV61" s="484">
        <f t="shared" ref="AV61:AV86" si="33">V61-AA61</f>
        <v>0</v>
      </c>
      <c r="AW61" s="541"/>
      <c r="AX61" s="542"/>
      <c r="BG61" s="488">
        <f t="shared" si="10"/>
        <v>2000</v>
      </c>
    </row>
    <row r="62" spans="1:59" s="80" customFormat="1" ht="59.25" customHeight="1">
      <c r="A62" s="538" t="s">
        <v>35</v>
      </c>
      <c r="B62" s="539" t="s">
        <v>43</v>
      </c>
      <c r="C62" s="526"/>
      <c r="D62" s="526"/>
      <c r="E62" s="526"/>
      <c r="F62" s="526"/>
      <c r="G62" s="526"/>
      <c r="H62" s="540"/>
      <c r="I62" s="526"/>
      <c r="J62" s="527"/>
      <c r="K62" s="482">
        <f t="shared" ref="K62" si="34">K63</f>
        <v>74900</v>
      </c>
      <c r="L62" s="482">
        <f t="shared" ref="L62" si="35">L63</f>
        <v>26716</v>
      </c>
      <c r="M62" s="482">
        <f t="shared" ref="M62" si="36">M63</f>
        <v>48184</v>
      </c>
      <c r="N62" s="482">
        <f t="shared" ref="N62" si="37">N63</f>
        <v>0</v>
      </c>
      <c r="O62" s="482">
        <f t="shared" ref="O62" si="38">O63</f>
        <v>48184</v>
      </c>
      <c r="P62" s="482">
        <f t="shared" ref="P62" si="39">P63</f>
        <v>0</v>
      </c>
      <c r="Q62" s="482">
        <f t="shared" ref="Q62" si="40">Q63</f>
        <v>55511</v>
      </c>
      <c r="R62" s="482">
        <f t="shared" ref="R62" si="41">R63</f>
        <v>7327</v>
      </c>
      <c r="S62" s="482">
        <f t="shared" ref="S62" si="42">S63</f>
        <v>20700</v>
      </c>
      <c r="T62" s="482">
        <f t="shared" ref="T62" si="43">T63</f>
        <v>20700</v>
      </c>
      <c r="U62" s="482">
        <f t="shared" ref="U62" si="44">U63</f>
        <v>0</v>
      </c>
      <c r="V62" s="482">
        <f t="shared" ref="V62:W62" si="45">V63</f>
        <v>0</v>
      </c>
      <c r="W62" s="482">
        <f t="shared" si="45"/>
        <v>61511</v>
      </c>
      <c r="X62" s="482"/>
      <c r="Y62" s="482">
        <f>Y63</f>
        <v>7327</v>
      </c>
      <c r="Z62" s="482">
        <f t="shared" ref="Z62:AS62" si="46">Z63</f>
        <v>0</v>
      </c>
      <c r="AA62" s="482">
        <f t="shared" si="46"/>
        <v>0</v>
      </c>
      <c r="AB62" s="482">
        <f t="shared" si="46"/>
        <v>6000</v>
      </c>
      <c r="AC62" s="482">
        <f t="shared" si="46"/>
        <v>0</v>
      </c>
      <c r="AD62" s="482">
        <f t="shared" si="46"/>
        <v>0</v>
      </c>
      <c r="AE62" s="482">
        <f t="shared" si="46"/>
        <v>0</v>
      </c>
      <c r="AF62" s="482">
        <f t="shared" si="46"/>
        <v>0</v>
      </c>
      <c r="AG62" s="482">
        <f t="shared" si="46"/>
        <v>0</v>
      </c>
      <c r="AH62" s="482">
        <f t="shared" si="46"/>
        <v>13327</v>
      </c>
      <c r="AI62" s="482">
        <f t="shared" si="46"/>
        <v>7327</v>
      </c>
      <c r="AJ62" s="482">
        <f t="shared" si="46"/>
        <v>13373</v>
      </c>
      <c r="AK62" s="482">
        <f t="shared" si="46"/>
        <v>13373</v>
      </c>
      <c r="AL62" s="482">
        <f t="shared" si="46"/>
        <v>7000</v>
      </c>
      <c r="AM62" s="482">
        <f t="shared" si="46"/>
        <v>7000</v>
      </c>
      <c r="AN62" s="482">
        <f t="shared" si="46"/>
        <v>0</v>
      </c>
      <c r="AO62" s="482">
        <f t="shared" si="46"/>
        <v>0</v>
      </c>
      <c r="AP62" s="482">
        <f t="shared" si="46"/>
        <v>5000</v>
      </c>
      <c r="AQ62" s="482">
        <f t="shared" si="46"/>
        <v>5000</v>
      </c>
      <c r="AR62" s="482">
        <f t="shared" si="46"/>
        <v>0</v>
      </c>
      <c r="AS62" s="482">
        <f t="shared" si="46"/>
        <v>0</v>
      </c>
      <c r="AT62" s="526"/>
      <c r="AU62" s="484">
        <f t="shared" si="0"/>
        <v>0</v>
      </c>
      <c r="AV62" s="489"/>
      <c r="AW62" s="541"/>
      <c r="AX62" s="542"/>
      <c r="BG62" s="488">
        <f t="shared" si="10"/>
        <v>2000</v>
      </c>
    </row>
    <row r="63" spans="1:59" s="82" customFormat="1" ht="59.25" customHeight="1">
      <c r="A63" s="543">
        <v>3</v>
      </c>
      <c r="B63" s="544" t="s">
        <v>338</v>
      </c>
      <c r="C63" s="545" t="s">
        <v>333</v>
      </c>
      <c r="D63" s="545"/>
      <c r="E63" s="494" t="s">
        <v>983</v>
      </c>
      <c r="F63" s="545"/>
      <c r="G63" s="545"/>
      <c r="H63" s="494"/>
      <c r="I63" s="494"/>
      <c r="J63" s="494" t="s">
        <v>796</v>
      </c>
      <c r="K63" s="546">
        <v>74900</v>
      </c>
      <c r="L63" s="546">
        <v>26716</v>
      </c>
      <c r="M63" s="496">
        <v>48184</v>
      </c>
      <c r="N63" s="496">
        <v>0</v>
      </c>
      <c r="O63" s="496">
        <v>48184</v>
      </c>
      <c r="P63" s="496">
        <v>0</v>
      </c>
      <c r="Q63" s="496">
        <f>M63+X63</f>
        <v>55511</v>
      </c>
      <c r="R63" s="496">
        <f>N63+Y63</f>
        <v>7327</v>
      </c>
      <c r="S63" s="496">
        <f>T63</f>
        <v>20700</v>
      </c>
      <c r="T63" s="496">
        <v>20700</v>
      </c>
      <c r="U63" s="496"/>
      <c r="V63" s="496"/>
      <c r="W63" s="496">
        <f>48184+7327+6000</f>
        <v>61511</v>
      </c>
      <c r="X63" s="496">
        <v>7327</v>
      </c>
      <c r="Y63" s="496">
        <v>7327</v>
      </c>
      <c r="Z63" s="496"/>
      <c r="AA63" s="496"/>
      <c r="AB63" s="496">
        <v>6000</v>
      </c>
      <c r="AC63" s="496"/>
      <c r="AD63" s="496"/>
      <c r="AE63" s="496"/>
      <c r="AF63" s="547">
        <v>0</v>
      </c>
      <c r="AG63" s="547">
        <v>0</v>
      </c>
      <c r="AH63" s="496">
        <f>X63+AB63</f>
        <v>13327</v>
      </c>
      <c r="AI63" s="496">
        <v>7327</v>
      </c>
      <c r="AJ63" s="496">
        <f>AK63</f>
        <v>13373</v>
      </c>
      <c r="AK63" s="496">
        <f>T63-AI63</f>
        <v>13373</v>
      </c>
      <c r="AL63" s="496">
        <f>AM63</f>
        <v>7000</v>
      </c>
      <c r="AM63" s="496">
        <v>7000</v>
      </c>
      <c r="AN63" s="496">
        <f t="shared" ref="AN63:AN75" si="47">AR63</f>
        <v>0</v>
      </c>
      <c r="AO63" s="496">
        <f t="shared" ref="AO63:AO75" si="48">AS63</f>
        <v>0</v>
      </c>
      <c r="AP63" s="496">
        <f>AQ63</f>
        <v>5000</v>
      </c>
      <c r="AQ63" s="496">
        <v>5000</v>
      </c>
      <c r="AR63" s="496"/>
      <c r="AS63" s="496"/>
      <c r="AT63" s="536" t="s">
        <v>339</v>
      </c>
      <c r="AU63" s="484">
        <f t="shared" si="0"/>
        <v>0</v>
      </c>
      <c r="AV63" s="484">
        <f>V63-AA63</f>
        <v>0</v>
      </c>
      <c r="AW63" s="536"/>
      <c r="AX63" s="548"/>
      <c r="BG63" s="488">
        <f t="shared" si="10"/>
        <v>2000</v>
      </c>
    </row>
    <row r="64" spans="1:59" s="81" customFormat="1" ht="59.25" customHeight="1">
      <c r="A64" s="549" t="s">
        <v>42</v>
      </c>
      <c r="B64" s="539" t="s">
        <v>45</v>
      </c>
      <c r="C64" s="550"/>
      <c r="D64" s="550"/>
      <c r="E64" s="550"/>
      <c r="F64" s="550"/>
      <c r="G64" s="550"/>
      <c r="H64" s="480"/>
      <c r="I64" s="480"/>
      <c r="J64" s="481"/>
      <c r="K64" s="482">
        <f>SUM(K65:K66)</f>
        <v>35330</v>
      </c>
      <c r="L64" s="482">
        <f t="shared" ref="L64:AS64" si="49">SUM(L65:L66)</f>
        <v>26990</v>
      </c>
      <c r="M64" s="482">
        <f t="shared" si="49"/>
        <v>13400</v>
      </c>
      <c r="N64" s="482">
        <f t="shared" si="49"/>
        <v>1400</v>
      </c>
      <c r="O64" s="482">
        <f t="shared" si="49"/>
        <v>13400</v>
      </c>
      <c r="P64" s="482">
        <f t="shared" si="49"/>
        <v>1400</v>
      </c>
      <c r="Q64" s="482">
        <f t="shared" si="49"/>
        <v>15900</v>
      </c>
      <c r="R64" s="482">
        <f t="shared" si="49"/>
        <v>3498.6</v>
      </c>
      <c r="S64" s="482">
        <f t="shared" si="49"/>
        <v>21930</v>
      </c>
      <c r="T64" s="482">
        <f t="shared" si="49"/>
        <v>21930</v>
      </c>
      <c r="U64" s="482">
        <f t="shared" si="49"/>
        <v>0</v>
      </c>
      <c r="V64" s="482">
        <f t="shared" si="49"/>
        <v>0</v>
      </c>
      <c r="W64" s="482">
        <f t="shared" si="49"/>
        <v>22400</v>
      </c>
      <c r="X64" s="482">
        <f t="shared" si="49"/>
        <v>7500</v>
      </c>
      <c r="Y64" s="482">
        <f t="shared" si="49"/>
        <v>7098.6</v>
      </c>
      <c r="Z64" s="482">
        <f t="shared" si="49"/>
        <v>0</v>
      </c>
      <c r="AA64" s="482">
        <f t="shared" si="49"/>
        <v>0</v>
      </c>
      <c r="AB64" s="482">
        <f t="shared" si="49"/>
        <v>4000</v>
      </c>
      <c r="AC64" s="482">
        <f t="shared" si="49"/>
        <v>4000</v>
      </c>
      <c r="AD64" s="482">
        <f t="shared" si="49"/>
        <v>0</v>
      </c>
      <c r="AE64" s="482">
        <f t="shared" si="49"/>
        <v>0</v>
      </c>
      <c r="AF64" s="482">
        <f t="shared" si="49"/>
        <v>0</v>
      </c>
      <c r="AG64" s="482">
        <f t="shared" si="49"/>
        <v>0</v>
      </c>
      <c r="AH64" s="482">
        <f t="shared" si="49"/>
        <v>11500</v>
      </c>
      <c r="AI64" s="482">
        <f t="shared" si="49"/>
        <v>11098.6</v>
      </c>
      <c r="AJ64" s="482">
        <f t="shared" si="49"/>
        <v>0</v>
      </c>
      <c r="AK64" s="482">
        <f t="shared" si="49"/>
        <v>0</v>
      </c>
      <c r="AL64" s="482">
        <f t="shared" si="49"/>
        <v>5940</v>
      </c>
      <c r="AM64" s="482">
        <f t="shared" si="49"/>
        <v>5940</v>
      </c>
      <c r="AN64" s="482">
        <f t="shared" si="49"/>
        <v>0</v>
      </c>
      <c r="AO64" s="482">
        <f t="shared" si="49"/>
        <v>0</v>
      </c>
      <c r="AP64" s="482">
        <f t="shared" si="49"/>
        <v>5940</v>
      </c>
      <c r="AQ64" s="482">
        <f t="shared" si="49"/>
        <v>5940</v>
      </c>
      <c r="AR64" s="482">
        <f t="shared" si="49"/>
        <v>0</v>
      </c>
      <c r="AS64" s="482">
        <f t="shared" si="49"/>
        <v>0</v>
      </c>
      <c r="AT64" s="551"/>
      <c r="AU64" s="484">
        <f t="shared" si="0"/>
        <v>0</v>
      </c>
      <c r="AV64" s="489"/>
      <c r="AW64" s="551"/>
      <c r="AX64" s="537"/>
      <c r="BG64" s="488">
        <f t="shared" si="10"/>
        <v>0</v>
      </c>
    </row>
    <row r="65" spans="1:59" s="82" customFormat="1" ht="59.25" customHeight="1">
      <c r="A65" s="543">
        <v>1</v>
      </c>
      <c r="B65" s="552" t="s">
        <v>335</v>
      </c>
      <c r="C65" s="545" t="s">
        <v>333</v>
      </c>
      <c r="D65" s="545"/>
      <c r="E65" s="494" t="s">
        <v>983</v>
      </c>
      <c r="F65" s="545"/>
      <c r="G65" s="545"/>
      <c r="H65" s="494"/>
      <c r="I65" s="494"/>
      <c r="J65" s="495" t="s">
        <v>336</v>
      </c>
      <c r="K65" s="496">
        <v>20340</v>
      </c>
      <c r="L65" s="496">
        <v>12000</v>
      </c>
      <c r="M65" s="496">
        <v>13400</v>
      </c>
      <c r="N65" s="496">
        <v>1400</v>
      </c>
      <c r="O65" s="496">
        <v>13400</v>
      </c>
      <c r="P65" s="496">
        <v>1400</v>
      </c>
      <c r="Q65" s="496">
        <v>13400</v>
      </c>
      <c r="R65" s="496">
        <v>1400</v>
      </c>
      <c r="S65" s="496">
        <f>T65</f>
        <v>6940</v>
      </c>
      <c r="T65" s="496">
        <v>6940</v>
      </c>
      <c r="U65" s="496"/>
      <c r="V65" s="496"/>
      <c r="W65" s="496">
        <f>13400+5000</f>
        <v>18400</v>
      </c>
      <c r="X65" s="496">
        <v>5000</v>
      </c>
      <c r="Y65" s="496">
        <v>5000</v>
      </c>
      <c r="Z65" s="496"/>
      <c r="AA65" s="496"/>
      <c r="AB65" s="496"/>
      <c r="AC65" s="496"/>
      <c r="AD65" s="496"/>
      <c r="AE65" s="496"/>
      <c r="AF65" s="547"/>
      <c r="AG65" s="547"/>
      <c r="AH65" s="496">
        <f t="shared" ref="AH65:AI66" si="50">X65+AB65</f>
        <v>5000</v>
      </c>
      <c r="AI65" s="496">
        <f t="shared" si="50"/>
        <v>5000</v>
      </c>
      <c r="AJ65" s="496"/>
      <c r="AK65" s="496"/>
      <c r="AL65" s="496">
        <f>AM65</f>
        <v>1940</v>
      </c>
      <c r="AM65" s="496">
        <f>T65-AI65</f>
        <v>1940</v>
      </c>
      <c r="AN65" s="496">
        <f t="shared" si="47"/>
        <v>0</v>
      </c>
      <c r="AO65" s="496">
        <f t="shared" si="48"/>
        <v>0</v>
      </c>
      <c r="AP65" s="496">
        <f>AQ65</f>
        <v>1940</v>
      </c>
      <c r="AQ65" s="496">
        <v>1940</v>
      </c>
      <c r="AR65" s="496"/>
      <c r="AS65" s="496"/>
      <c r="AT65" s="536" t="s">
        <v>337</v>
      </c>
      <c r="AU65" s="484">
        <f t="shared" si="0"/>
        <v>0</v>
      </c>
      <c r="AV65" s="484">
        <f>V65-AA65</f>
        <v>0</v>
      </c>
      <c r="AW65" s="536"/>
      <c r="AX65" s="548"/>
      <c r="BG65" s="488">
        <f t="shared" si="10"/>
        <v>0</v>
      </c>
    </row>
    <row r="66" spans="1:59" s="82" customFormat="1" ht="59.25" customHeight="1">
      <c r="A66" s="553">
        <v>2</v>
      </c>
      <c r="B66" s="554" t="s">
        <v>342</v>
      </c>
      <c r="C66" s="545" t="s">
        <v>333</v>
      </c>
      <c r="D66" s="545"/>
      <c r="E66" s="545"/>
      <c r="F66" s="545"/>
      <c r="G66" s="545"/>
      <c r="H66" s="494"/>
      <c r="I66" s="494"/>
      <c r="J66" s="495" t="s">
        <v>1083</v>
      </c>
      <c r="K66" s="496">
        <f>L66</f>
        <v>14990</v>
      </c>
      <c r="L66" s="496">
        <v>14990</v>
      </c>
      <c r="M66" s="496">
        <v>0</v>
      </c>
      <c r="N66" s="496">
        <v>0</v>
      </c>
      <c r="O66" s="496">
        <v>0</v>
      </c>
      <c r="P66" s="496">
        <v>0</v>
      </c>
      <c r="Q66" s="496">
        <f>M66+X66</f>
        <v>2500</v>
      </c>
      <c r="R66" s="496">
        <f>N66+Y66</f>
        <v>2098.6</v>
      </c>
      <c r="S66" s="496">
        <f>T66</f>
        <v>14990</v>
      </c>
      <c r="T66" s="496">
        <v>14990</v>
      </c>
      <c r="U66" s="496"/>
      <c r="V66" s="496"/>
      <c r="W66" s="496">
        <v>4000</v>
      </c>
      <c r="X66" s="496">
        <v>2500</v>
      </c>
      <c r="Y66" s="496">
        <v>2098.6</v>
      </c>
      <c r="Z66" s="496"/>
      <c r="AA66" s="496"/>
      <c r="AB66" s="496">
        <v>4000</v>
      </c>
      <c r="AC66" s="496">
        <v>4000</v>
      </c>
      <c r="AD66" s="496"/>
      <c r="AE66" s="496"/>
      <c r="AF66" s="496"/>
      <c r="AG66" s="496"/>
      <c r="AH66" s="496">
        <f t="shared" si="50"/>
        <v>6500</v>
      </c>
      <c r="AI66" s="496">
        <f t="shared" si="50"/>
        <v>6098.6</v>
      </c>
      <c r="AJ66" s="496"/>
      <c r="AK66" s="496"/>
      <c r="AL66" s="496">
        <f t="shared" ref="AL66:AO66" si="51">AP66</f>
        <v>4000</v>
      </c>
      <c r="AM66" s="496">
        <f t="shared" si="51"/>
        <v>4000</v>
      </c>
      <c r="AN66" s="496">
        <f t="shared" si="51"/>
        <v>0</v>
      </c>
      <c r="AO66" s="496">
        <f t="shared" si="51"/>
        <v>0</v>
      </c>
      <c r="AP66" s="496">
        <f>AQ66</f>
        <v>4000</v>
      </c>
      <c r="AQ66" s="496">
        <v>4000</v>
      </c>
      <c r="AR66" s="496"/>
      <c r="AS66" s="496"/>
      <c r="AT66" s="536"/>
      <c r="AU66" s="484">
        <f t="shared" si="0"/>
        <v>0</v>
      </c>
      <c r="AV66" s="484">
        <f>V66-AA66</f>
        <v>0</v>
      </c>
      <c r="AW66" s="536">
        <f>AC66</f>
        <v>4000</v>
      </c>
      <c r="AX66" s="548">
        <f>S66</f>
        <v>14990</v>
      </c>
      <c r="BD66" s="82">
        <v>1</v>
      </c>
      <c r="BE66" s="82">
        <v>1</v>
      </c>
      <c r="BF66" s="510">
        <f>AQ66</f>
        <v>4000</v>
      </c>
      <c r="BG66" s="488">
        <f t="shared" si="10"/>
        <v>0</v>
      </c>
    </row>
    <row r="67" spans="1:59" s="81" customFormat="1" ht="59.25" customHeight="1">
      <c r="A67" s="549" t="s">
        <v>46</v>
      </c>
      <c r="B67" s="555" t="s">
        <v>288</v>
      </c>
      <c r="C67" s="550"/>
      <c r="D67" s="550"/>
      <c r="E67" s="550"/>
      <c r="F67" s="550"/>
      <c r="G67" s="550"/>
      <c r="H67" s="480"/>
      <c r="I67" s="480"/>
      <c r="J67" s="481"/>
      <c r="K67" s="482">
        <f>K68</f>
        <v>369776.69999999995</v>
      </c>
      <c r="L67" s="482">
        <f t="shared" ref="L67:AS67" si="52">L68</f>
        <v>191816.9</v>
      </c>
      <c r="M67" s="482">
        <f t="shared" si="52"/>
        <v>18222</v>
      </c>
      <c r="N67" s="482">
        <f t="shared" si="52"/>
        <v>0</v>
      </c>
      <c r="O67" s="482">
        <f t="shared" si="52"/>
        <v>0</v>
      </c>
      <c r="P67" s="482">
        <f t="shared" si="52"/>
        <v>0</v>
      </c>
      <c r="Q67" s="482">
        <f t="shared" si="52"/>
        <v>18521</v>
      </c>
      <c r="R67" s="482">
        <f t="shared" si="52"/>
        <v>299</v>
      </c>
      <c r="S67" s="482">
        <f t="shared" si="52"/>
        <v>136423</v>
      </c>
      <c r="T67" s="482">
        <f t="shared" si="52"/>
        <v>118201</v>
      </c>
      <c r="U67" s="482">
        <f t="shared" si="52"/>
        <v>0</v>
      </c>
      <c r="V67" s="482">
        <f t="shared" si="52"/>
        <v>0</v>
      </c>
      <c r="W67" s="482">
        <f t="shared" si="52"/>
        <v>16425</v>
      </c>
      <c r="X67" s="482">
        <f t="shared" si="52"/>
        <v>299</v>
      </c>
      <c r="Y67" s="482">
        <f t="shared" si="52"/>
        <v>299</v>
      </c>
      <c r="Z67" s="482">
        <f t="shared" si="52"/>
        <v>0</v>
      </c>
      <c r="AA67" s="482">
        <f t="shared" si="52"/>
        <v>0</v>
      </c>
      <c r="AB67" s="482">
        <f t="shared" si="52"/>
        <v>16200</v>
      </c>
      <c r="AC67" s="482">
        <f t="shared" si="52"/>
        <v>16200</v>
      </c>
      <c r="AD67" s="482">
        <f t="shared" si="52"/>
        <v>0</v>
      </c>
      <c r="AE67" s="482">
        <f t="shared" si="52"/>
        <v>0</v>
      </c>
      <c r="AF67" s="482">
        <f t="shared" si="52"/>
        <v>3463.8049999999998</v>
      </c>
      <c r="AG67" s="482">
        <f t="shared" si="52"/>
        <v>4704.2269999999999</v>
      </c>
      <c r="AH67" s="482">
        <f t="shared" si="52"/>
        <v>17517</v>
      </c>
      <c r="AI67" s="482">
        <f t="shared" si="52"/>
        <v>17517</v>
      </c>
      <c r="AJ67" s="482">
        <f t="shared" si="52"/>
        <v>0</v>
      </c>
      <c r="AK67" s="482">
        <f t="shared" si="52"/>
        <v>0</v>
      </c>
      <c r="AL67" s="482">
        <f t="shared" si="52"/>
        <v>26600</v>
      </c>
      <c r="AM67" s="482">
        <f t="shared" si="52"/>
        <v>26600</v>
      </c>
      <c r="AN67" s="482">
        <f t="shared" si="52"/>
        <v>0</v>
      </c>
      <c r="AO67" s="482">
        <f t="shared" si="52"/>
        <v>0</v>
      </c>
      <c r="AP67" s="482">
        <f t="shared" si="52"/>
        <v>31987</v>
      </c>
      <c r="AQ67" s="482">
        <f>AQ68</f>
        <v>31987</v>
      </c>
      <c r="AR67" s="482">
        <f t="shared" si="52"/>
        <v>0</v>
      </c>
      <c r="AS67" s="482">
        <f t="shared" si="52"/>
        <v>0</v>
      </c>
      <c r="AT67" s="551"/>
      <c r="AU67" s="484">
        <f t="shared" si="0"/>
        <v>0</v>
      </c>
      <c r="AV67" s="489"/>
      <c r="AW67" s="551"/>
      <c r="AX67" s="537"/>
      <c r="BG67" s="488">
        <f t="shared" si="10"/>
        <v>-5387</v>
      </c>
    </row>
    <row r="68" spans="1:59" s="81" customFormat="1" ht="59.25" customHeight="1">
      <c r="A68" s="556" t="s">
        <v>42</v>
      </c>
      <c r="B68" s="557" t="s">
        <v>45</v>
      </c>
      <c r="C68" s="550"/>
      <c r="D68" s="550"/>
      <c r="E68" s="550"/>
      <c r="F68" s="550"/>
      <c r="G68" s="550"/>
      <c r="H68" s="480"/>
      <c r="I68" s="480"/>
      <c r="J68" s="558"/>
      <c r="K68" s="482">
        <f>SUM(K69:K76)</f>
        <v>369776.69999999995</v>
      </c>
      <c r="L68" s="482">
        <f t="shared" ref="L68:AS68" si="53">SUM(L69:L76)</f>
        <v>191816.9</v>
      </c>
      <c r="M68" s="482">
        <f t="shared" si="53"/>
        <v>18222</v>
      </c>
      <c r="N68" s="482">
        <f t="shared" si="53"/>
        <v>0</v>
      </c>
      <c r="O68" s="482">
        <f t="shared" si="53"/>
        <v>0</v>
      </c>
      <c r="P68" s="482">
        <f t="shared" si="53"/>
        <v>0</v>
      </c>
      <c r="Q68" s="482">
        <f t="shared" si="53"/>
        <v>18521</v>
      </c>
      <c r="R68" s="482">
        <f t="shared" si="53"/>
        <v>299</v>
      </c>
      <c r="S68" s="482">
        <f t="shared" si="53"/>
        <v>136423</v>
      </c>
      <c r="T68" s="482">
        <f t="shared" si="53"/>
        <v>118201</v>
      </c>
      <c r="U68" s="482">
        <f t="shared" si="53"/>
        <v>0</v>
      </c>
      <c r="V68" s="482">
        <f t="shared" si="53"/>
        <v>0</v>
      </c>
      <c r="W68" s="482">
        <f t="shared" si="53"/>
        <v>16425</v>
      </c>
      <c r="X68" s="482">
        <f t="shared" si="53"/>
        <v>299</v>
      </c>
      <c r="Y68" s="482">
        <f t="shared" si="53"/>
        <v>299</v>
      </c>
      <c r="Z68" s="482">
        <f t="shared" si="53"/>
        <v>0</v>
      </c>
      <c r="AA68" s="482">
        <f t="shared" si="53"/>
        <v>0</v>
      </c>
      <c r="AB68" s="482">
        <f t="shared" si="53"/>
        <v>16200</v>
      </c>
      <c r="AC68" s="482">
        <f t="shared" si="53"/>
        <v>16200</v>
      </c>
      <c r="AD68" s="482">
        <f t="shared" si="53"/>
        <v>0</v>
      </c>
      <c r="AE68" s="482">
        <f t="shared" si="53"/>
        <v>0</v>
      </c>
      <c r="AF68" s="482">
        <f t="shared" si="53"/>
        <v>3463.8049999999998</v>
      </c>
      <c r="AG68" s="482">
        <f t="shared" si="53"/>
        <v>4704.2269999999999</v>
      </c>
      <c r="AH68" s="482">
        <f t="shared" si="53"/>
        <v>17517</v>
      </c>
      <c r="AI68" s="482">
        <f t="shared" si="53"/>
        <v>17517</v>
      </c>
      <c r="AJ68" s="482">
        <f t="shared" si="53"/>
        <v>0</v>
      </c>
      <c r="AK68" s="482">
        <f t="shared" si="53"/>
        <v>0</v>
      </c>
      <c r="AL68" s="482">
        <f t="shared" si="53"/>
        <v>26600</v>
      </c>
      <c r="AM68" s="482">
        <f t="shared" si="53"/>
        <v>26600</v>
      </c>
      <c r="AN68" s="482">
        <f t="shared" si="53"/>
        <v>0</v>
      </c>
      <c r="AO68" s="482">
        <f t="shared" si="53"/>
        <v>0</v>
      </c>
      <c r="AP68" s="482">
        <f t="shared" si="53"/>
        <v>31987</v>
      </c>
      <c r="AQ68" s="482">
        <f>SUM(AQ69:AQ76)</f>
        <v>31987</v>
      </c>
      <c r="AR68" s="482">
        <f t="shared" si="53"/>
        <v>0</v>
      </c>
      <c r="AS68" s="482">
        <f t="shared" si="53"/>
        <v>0</v>
      </c>
      <c r="AT68" s="551"/>
      <c r="AU68" s="484">
        <f t="shared" ref="AU68:AU102" si="54">AP68-AQ68</f>
        <v>0</v>
      </c>
      <c r="AV68" s="489"/>
      <c r="AW68" s="551"/>
      <c r="AX68" s="537"/>
      <c r="BG68" s="488">
        <f t="shared" si="10"/>
        <v>-5387</v>
      </c>
    </row>
    <row r="69" spans="1:59" s="82" customFormat="1" ht="59.25" customHeight="1">
      <c r="A69" s="559" t="s">
        <v>79</v>
      </c>
      <c r="B69" s="560" t="s">
        <v>340</v>
      </c>
      <c r="C69" s="545" t="s">
        <v>333</v>
      </c>
      <c r="D69" s="545"/>
      <c r="E69" s="545" t="s">
        <v>984</v>
      </c>
      <c r="F69" s="545"/>
      <c r="G69" s="545"/>
      <c r="H69" s="494"/>
      <c r="I69" s="494" t="s">
        <v>446</v>
      </c>
      <c r="J69" s="495" t="s">
        <v>341</v>
      </c>
      <c r="K69" s="496">
        <v>40000</v>
      </c>
      <c r="L69" s="496">
        <v>20000</v>
      </c>
      <c r="M69" s="496">
        <v>18222</v>
      </c>
      <c r="N69" s="496"/>
      <c r="O69" s="496"/>
      <c r="P69" s="496"/>
      <c r="Q69" s="496">
        <f t="shared" ref="Q69:R75" si="55">M69+X69</f>
        <v>18222</v>
      </c>
      <c r="R69" s="496">
        <f t="shared" si="55"/>
        <v>0</v>
      </c>
      <c r="S69" s="496">
        <v>36444</v>
      </c>
      <c r="T69" s="496">
        <v>18222</v>
      </c>
      <c r="U69" s="496"/>
      <c r="V69" s="496"/>
      <c r="W69" s="496"/>
      <c r="X69" s="496"/>
      <c r="Y69" s="496"/>
      <c r="Z69" s="496"/>
      <c r="AA69" s="496"/>
      <c r="AB69" s="496"/>
      <c r="AC69" s="496"/>
      <c r="AD69" s="496"/>
      <c r="AE69" s="496"/>
      <c r="AF69" s="496"/>
      <c r="AG69" s="496"/>
      <c r="AH69" s="496">
        <f t="shared" si="1"/>
        <v>0</v>
      </c>
      <c r="AI69" s="496">
        <f t="shared" si="2"/>
        <v>0</v>
      </c>
      <c r="AJ69" s="496"/>
      <c r="AK69" s="496"/>
      <c r="AL69" s="496">
        <f>AM69</f>
        <v>6500</v>
      </c>
      <c r="AM69" s="496">
        <v>6500</v>
      </c>
      <c r="AN69" s="496">
        <f t="shared" si="47"/>
        <v>0</v>
      </c>
      <c r="AO69" s="496">
        <f t="shared" si="48"/>
        <v>0</v>
      </c>
      <c r="AP69" s="496">
        <f>AQ69</f>
        <v>5500</v>
      </c>
      <c r="AQ69" s="496">
        <v>5500</v>
      </c>
      <c r="AR69" s="496"/>
      <c r="AS69" s="496"/>
      <c r="AT69" s="536"/>
      <c r="AU69" s="484">
        <f t="shared" si="54"/>
        <v>0</v>
      </c>
      <c r="AV69" s="484">
        <f t="shared" si="33"/>
        <v>0</v>
      </c>
      <c r="AW69" s="536"/>
      <c r="AX69" s="548"/>
      <c r="BG69" s="488">
        <f t="shared" si="10"/>
        <v>1000</v>
      </c>
    </row>
    <row r="70" spans="1:59" s="510" customFormat="1" ht="59.25" customHeight="1">
      <c r="A70" s="553">
        <v>4</v>
      </c>
      <c r="B70" s="552" t="s">
        <v>343</v>
      </c>
      <c r="C70" s="545" t="s">
        <v>333</v>
      </c>
      <c r="D70" s="545"/>
      <c r="E70" s="494" t="s">
        <v>983</v>
      </c>
      <c r="F70" s="545"/>
      <c r="G70" s="545"/>
      <c r="H70" s="503"/>
      <c r="I70" s="561" t="s">
        <v>811</v>
      </c>
      <c r="J70" s="495" t="s">
        <v>344</v>
      </c>
      <c r="K70" s="520">
        <v>14950</v>
      </c>
      <c r="L70" s="520">
        <v>14950</v>
      </c>
      <c r="M70" s="496"/>
      <c r="N70" s="496"/>
      <c r="O70" s="496"/>
      <c r="P70" s="496"/>
      <c r="Q70" s="496">
        <f t="shared" si="55"/>
        <v>130</v>
      </c>
      <c r="R70" s="496">
        <f t="shared" si="55"/>
        <v>130</v>
      </c>
      <c r="S70" s="520">
        <f>T70</f>
        <v>14950</v>
      </c>
      <c r="T70" s="520">
        <v>14950</v>
      </c>
      <c r="U70" s="496"/>
      <c r="V70" s="496"/>
      <c r="W70" s="496">
        <v>5130</v>
      </c>
      <c r="X70" s="496">
        <v>130</v>
      </c>
      <c r="Y70" s="496">
        <v>130</v>
      </c>
      <c r="Z70" s="496"/>
      <c r="AA70" s="496"/>
      <c r="AB70" s="496">
        <v>5000</v>
      </c>
      <c r="AC70" s="496">
        <v>5000</v>
      </c>
      <c r="AD70" s="496"/>
      <c r="AE70" s="496"/>
      <c r="AF70" s="520">
        <v>3000</v>
      </c>
      <c r="AG70" s="520">
        <v>3000</v>
      </c>
      <c r="AH70" s="496">
        <f t="shared" si="1"/>
        <v>5130</v>
      </c>
      <c r="AI70" s="496">
        <f t="shared" si="2"/>
        <v>5130</v>
      </c>
      <c r="AJ70" s="496"/>
      <c r="AK70" s="496"/>
      <c r="AL70" s="496">
        <f t="shared" ref="AL70:AL75" si="56">AP70</f>
        <v>7000</v>
      </c>
      <c r="AM70" s="496">
        <f t="shared" ref="AM70:AM75" si="57">AQ70</f>
        <v>7000</v>
      </c>
      <c r="AN70" s="496">
        <f t="shared" si="47"/>
        <v>0</v>
      </c>
      <c r="AO70" s="496">
        <f t="shared" si="48"/>
        <v>0</v>
      </c>
      <c r="AP70" s="496">
        <f>AQ70</f>
        <v>7000</v>
      </c>
      <c r="AQ70" s="496">
        <v>7000</v>
      </c>
      <c r="AR70" s="496"/>
      <c r="AS70" s="496"/>
      <c r="AT70" s="536"/>
      <c r="AU70" s="484">
        <f t="shared" si="54"/>
        <v>0</v>
      </c>
      <c r="AV70" s="484">
        <f t="shared" si="33"/>
        <v>0</v>
      </c>
      <c r="AW70" s="498">
        <f>AC70</f>
        <v>5000</v>
      </c>
      <c r="AX70" s="548">
        <f>T70</f>
        <v>14950</v>
      </c>
      <c r="AY70" s="82">
        <f>T70-AX70</f>
        <v>0</v>
      </c>
      <c r="BD70" s="510">
        <v>1</v>
      </c>
      <c r="BE70" s="510">
        <v>1</v>
      </c>
      <c r="BF70" s="510">
        <f>AQ70</f>
        <v>7000</v>
      </c>
      <c r="BG70" s="488">
        <f t="shared" si="10"/>
        <v>0</v>
      </c>
    </row>
    <row r="71" spans="1:59" s="82" customFormat="1" ht="59.25" customHeight="1">
      <c r="A71" s="553">
        <v>5</v>
      </c>
      <c r="B71" s="552" t="s">
        <v>345</v>
      </c>
      <c r="C71" s="545" t="s">
        <v>333</v>
      </c>
      <c r="D71" s="545"/>
      <c r="E71" s="494" t="s">
        <v>983</v>
      </c>
      <c r="F71" s="545"/>
      <c r="G71" s="545"/>
      <c r="H71" s="494"/>
      <c r="I71" s="561" t="s">
        <v>811</v>
      </c>
      <c r="J71" s="495" t="s">
        <v>346</v>
      </c>
      <c r="K71" s="496">
        <v>8400</v>
      </c>
      <c r="L71" s="496">
        <v>8400</v>
      </c>
      <c r="M71" s="496"/>
      <c r="N71" s="496"/>
      <c r="O71" s="496"/>
      <c r="P71" s="496"/>
      <c r="Q71" s="496">
        <f t="shared" si="55"/>
        <v>0</v>
      </c>
      <c r="R71" s="496">
        <f t="shared" si="55"/>
        <v>0</v>
      </c>
      <c r="S71" s="520">
        <v>8400</v>
      </c>
      <c r="T71" s="496">
        <v>8400</v>
      </c>
      <c r="U71" s="496"/>
      <c r="V71" s="496"/>
      <c r="W71" s="496">
        <v>2895</v>
      </c>
      <c r="X71" s="496"/>
      <c r="Y71" s="496"/>
      <c r="Z71" s="496"/>
      <c r="AA71" s="496"/>
      <c r="AB71" s="496">
        <v>2800</v>
      </c>
      <c r="AC71" s="496">
        <v>2800</v>
      </c>
      <c r="AD71" s="496"/>
      <c r="AE71" s="496"/>
      <c r="AF71" s="520">
        <v>0</v>
      </c>
      <c r="AG71" s="520">
        <v>1000</v>
      </c>
      <c r="AH71" s="496">
        <f t="shared" si="1"/>
        <v>2800</v>
      </c>
      <c r="AI71" s="496">
        <f t="shared" si="2"/>
        <v>2800</v>
      </c>
      <c r="AJ71" s="496"/>
      <c r="AK71" s="496"/>
      <c r="AL71" s="496">
        <f t="shared" si="56"/>
        <v>5000</v>
      </c>
      <c r="AM71" s="496">
        <f t="shared" si="57"/>
        <v>5000</v>
      </c>
      <c r="AN71" s="496">
        <f t="shared" si="47"/>
        <v>0</v>
      </c>
      <c r="AO71" s="496">
        <f t="shared" si="48"/>
        <v>0</v>
      </c>
      <c r="AP71" s="496">
        <f t="shared" ref="AP71:AP76" si="58">AQ71</f>
        <v>5000</v>
      </c>
      <c r="AQ71" s="496">
        <v>5000</v>
      </c>
      <c r="AR71" s="496"/>
      <c r="AS71" s="496"/>
      <c r="AT71" s="536"/>
      <c r="AU71" s="484">
        <f t="shared" si="54"/>
        <v>0</v>
      </c>
      <c r="AV71" s="484">
        <f t="shared" si="33"/>
        <v>0</v>
      </c>
      <c r="AW71" s="498">
        <f>AC71</f>
        <v>2800</v>
      </c>
      <c r="AX71" s="548">
        <f>T71</f>
        <v>8400</v>
      </c>
      <c r="AY71" s="82">
        <f>T71-AX71</f>
        <v>0</v>
      </c>
      <c r="BD71" s="82">
        <v>1</v>
      </c>
      <c r="BE71" s="82">
        <v>1</v>
      </c>
      <c r="BF71" s="510">
        <f>AQ71</f>
        <v>5000</v>
      </c>
      <c r="BG71" s="488">
        <f t="shared" si="10"/>
        <v>0</v>
      </c>
    </row>
    <row r="72" spans="1:59" s="82" customFormat="1" ht="59.25" customHeight="1">
      <c r="A72" s="553">
        <v>6</v>
      </c>
      <c r="B72" s="552" t="s">
        <v>347</v>
      </c>
      <c r="C72" s="545" t="s">
        <v>333</v>
      </c>
      <c r="D72" s="545"/>
      <c r="E72" s="494" t="s">
        <v>983</v>
      </c>
      <c r="F72" s="545"/>
      <c r="G72" s="545"/>
      <c r="H72" s="494"/>
      <c r="I72" s="561" t="s">
        <v>811</v>
      </c>
      <c r="J72" s="495" t="s">
        <v>348</v>
      </c>
      <c r="K72" s="496">
        <v>10170</v>
      </c>
      <c r="L72" s="496">
        <v>10170</v>
      </c>
      <c r="M72" s="496"/>
      <c r="N72" s="496"/>
      <c r="O72" s="496"/>
      <c r="P72" s="496"/>
      <c r="Q72" s="496">
        <f t="shared" si="55"/>
        <v>0</v>
      </c>
      <c r="R72" s="496">
        <f t="shared" si="55"/>
        <v>0</v>
      </c>
      <c r="S72" s="520">
        <f>T72</f>
        <v>10170</v>
      </c>
      <c r="T72" s="496">
        <v>10170</v>
      </c>
      <c r="U72" s="496"/>
      <c r="V72" s="496"/>
      <c r="W72" s="496">
        <v>3200</v>
      </c>
      <c r="X72" s="496"/>
      <c r="Y72" s="496"/>
      <c r="Z72" s="496"/>
      <c r="AA72" s="496"/>
      <c r="AB72" s="496">
        <v>3200</v>
      </c>
      <c r="AC72" s="496">
        <v>3200</v>
      </c>
      <c r="AD72" s="496"/>
      <c r="AE72" s="496"/>
      <c r="AF72" s="520">
        <v>318.98</v>
      </c>
      <c r="AG72" s="520">
        <v>481.596</v>
      </c>
      <c r="AH72" s="496">
        <f t="shared" si="1"/>
        <v>3200</v>
      </c>
      <c r="AI72" s="496">
        <f t="shared" si="2"/>
        <v>3200</v>
      </c>
      <c r="AJ72" s="496"/>
      <c r="AK72" s="496"/>
      <c r="AL72" s="496">
        <f t="shared" si="56"/>
        <v>2500</v>
      </c>
      <c r="AM72" s="496">
        <f t="shared" si="57"/>
        <v>2500</v>
      </c>
      <c r="AN72" s="496">
        <f t="shared" si="47"/>
        <v>0</v>
      </c>
      <c r="AO72" s="496">
        <f t="shared" si="48"/>
        <v>0</v>
      </c>
      <c r="AP72" s="496">
        <f t="shared" si="58"/>
        <v>2500</v>
      </c>
      <c r="AQ72" s="496">
        <v>2500</v>
      </c>
      <c r="AR72" s="496"/>
      <c r="AS72" s="496"/>
      <c r="AT72" s="536"/>
      <c r="AU72" s="484">
        <f t="shared" si="54"/>
        <v>0</v>
      </c>
      <c r="AV72" s="484">
        <f t="shared" si="33"/>
        <v>0</v>
      </c>
      <c r="AW72" s="562"/>
      <c r="AX72" s="548"/>
      <c r="BB72" s="552"/>
      <c r="BG72" s="488">
        <f t="shared" si="10"/>
        <v>0</v>
      </c>
    </row>
    <row r="73" spans="1:59" s="82" customFormat="1" ht="59.25" customHeight="1">
      <c r="A73" s="553">
        <v>7</v>
      </c>
      <c r="B73" s="552" t="s">
        <v>349</v>
      </c>
      <c r="C73" s="545" t="s">
        <v>333</v>
      </c>
      <c r="D73" s="545"/>
      <c r="E73" s="494" t="s">
        <v>983</v>
      </c>
      <c r="F73" s="545"/>
      <c r="G73" s="545"/>
      <c r="H73" s="494"/>
      <c r="I73" s="561" t="s">
        <v>944</v>
      </c>
      <c r="J73" s="563" t="s">
        <v>350</v>
      </c>
      <c r="K73" s="496">
        <v>3800</v>
      </c>
      <c r="L73" s="496">
        <v>3800</v>
      </c>
      <c r="M73" s="496"/>
      <c r="N73" s="496"/>
      <c r="O73" s="496"/>
      <c r="P73" s="496"/>
      <c r="Q73" s="496">
        <f t="shared" si="55"/>
        <v>0</v>
      </c>
      <c r="R73" s="496">
        <f t="shared" si="55"/>
        <v>0</v>
      </c>
      <c r="S73" s="520">
        <f>T73</f>
        <v>3800</v>
      </c>
      <c r="T73" s="496">
        <v>3800</v>
      </c>
      <c r="U73" s="496"/>
      <c r="V73" s="496"/>
      <c r="W73" s="496">
        <v>1200</v>
      </c>
      <c r="X73" s="496"/>
      <c r="Y73" s="496"/>
      <c r="Z73" s="496"/>
      <c r="AA73" s="496"/>
      <c r="AB73" s="496">
        <v>1200</v>
      </c>
      <c r="AC73" s="496">
        <v>1200</v>
      </c>
      <c r="AD73" s="496"/>
      <c r="AE73" s="496"/>
      <c r="AF73" s="520">
        <v>144.82499999999999</v>
      </c>
      <c r="AG73" s="520">
        <v>222.631</v>
      </c>
      <c r="AH73" s="496">
        <f t="shared" si="1"/>
        <v>1200</v>
      </c>
      <c r="AI73" s="496">
        <f t="shared" si="2"/>
        <v>1200</v>
      </c>
      <c r="AJ73" s="496"/>
      <c r="AK73" s="496"/>
      <c r="AL73" s="496">
        <f>AM73</f>
        <v>2600</v>
      </c>
      <c r="AM73" s="496">
        <v>2600</v>
      </c>
      <c r="AN73" s="496">
        <f t="shared" si="47"/>
        <v>0</v>
      </c>
      <c r="AO73" s="496">
        <f t="shared" si="48"/>
        <v>0</v>
      </c>
      <c r="AP73" s="496">
        <f t="shared" si="58"/>
        <v>2600</v>
      </c>
      <c r="AQ73" s="496">
        <v>2600</v>
      </c>
      <c r="AR73" s="496"/>
      <c r="AS73" s="496"/>
      <c r="AT73" s="536"/>
      <c r="AU73" s="484">
        <f t="shared" si="54"/>
        <v>0</v>
      </c>
      <c r="AV73" s="484">
        <f t="shared" si="33"/>
        <v>0</v>
      </c>
      <c r="AW73" s="562"/>
      <c r="AX73" s="548"/>
      <c r="BB73" s="552"/>
      <c r="BG73" s="488">
        <f t="shared" si="10"/>
        <v>0</v>
      </c>
    </row>
    <row r="74" spans="1:59" s="510" customFormat="1" ht="59.25" customHeight="1">
      <c r="A74" s="553">
        <v>8</v>
      </c>
      <c r="B74" s="552" t="s">
        <v>351</v>
      </c>
      <c r="C74" s="545" t="s">
        <v>333</v>
      </c>
      <c r="D74" s="545"/>
      <c r="E74" s="545"/>
      <c r="F74" s="545"/>
      <c r="G74" s="545"/>
      <c r="H74" s="503"/>
      <c r="I74" s="561" t="s">
        <v>944</v>
      </c>
      <c r="J74" s="564" t="s">
        <v>352</v>
      </c>
      <c r="K74" s="520">
        <v>3000</v>
      </c>
      <c r="L74" s="520">
        <v>3000</v>
      </c>
      <c r="M74" s="496"/>
      <c r="N74" s="496"/>
      <c r="O74" s="496"/>
      <c r="P74" s="496"/>
      <c r="Q74" s="496">
        <f t="shared" si="55"/>
        <v>43</v>
      </c>
      <c r="R74" s="496">
        <f t="shared" si="55"/>
        <v>43</v>
      </c>
      <c r="S74" s="520">
        <f>T74</f>
        <v>3000</v>
      </c>
      <c r="T74" s="496">
        <v>3000</v>
      </c>
      <c r="U74" s="496"/>
      <c r="V74" s="496"/>
      <c r="W74" s="496">
        <v>1000</v>
      </c>
      <c r="X74" s="496">
        <v>43</v>
      </c>
      <c r="Y74" s="496">
        <v>43</v>
      </c>
      <c r="Z74" s="496"/>
      <c r="AA74" s="496"/>
      <c r="AB74" s="496">
        <v>1000</v>
      </c>
      <c r="AC74" s="496">
        <v>1000</v>
      </c>
      <c r="AD74" s="496"/>
      <c r="AE74" s="496"/>
      <c r="AF74" s="520">
        <v>0</v>
      </c>
      <c r="AG74" s="520">
        <v>0</v>
      </c>
      <c r="AH74" s="496">
        <f t="shared" si="1"/>
        <v>1043</v>
      </c>
      <c r="AI74" s="496">
        <f t="shared" si="2"/>
        <v>1043</v>
      </c>
      <c r="AJ74" s="496"/>
      <c r="AK74" s="496"/>
      <c r="AL74" s="496"/>
      <c r="AM74" s="496"/>
      <c r="AN74" s="496">
        <f t="shared" si="47"/>
        <v>0</v>
      </c>
      <c r="AO74" s="496">
        <f t="shared" si="48"/>
        <v>0</v>
      </c>
      <c r="AP74" s="496"/>
      <c r="AQ74" s="496"/>
      <c r="AR74" s="496"/>
      <c r="AS74" s="496"/>
      <c r="AT74" s="494" t="s">
        <v>943</v>
      </c>
      <c r="AU74" s="484">
        <f t="shared" si="54"/>
        <v>0</v>
      </c>
      <c r="AV74" s="484">
        <f t="shared" si="33"/>
        <v>0</v>
      </c>
      <c r="AW74" s="521">
        <f>AC74</f>
        <v>1000</v>
      </c>
      <c r="AX74" s="548">
        <f>T74</f>
        <v>3000</v>
      </c>
      <c r="AY74" s="82">
        <f>T74-AX74</f>
        <v>0</v>
      </c>
      <c r="BE74" s="510">
        <v>1</v>
      </c>
      <c r="BF74" s="510">
        <f>AQ74</f>
        <v>0</v>
      </c>
      <c r="BG74" s="488">
        <f t="shared" si="10"/>
        <v>0</v>
      </c>
    </row>
    <row r="75" spans="1:59" s="510" customFormat="1" ht="59.25" customHeight="1">
      <c r="A75" s="553">
        <v>9</v>
      </c>
      <c r="B75" s="565" t="s">
        <v>353</v>
      </c>
      <c r="C75" s="545" t="s">
        <v>333</v>
      </c>
      <c r="D75" s="545"/>
      <c r="E75" s="545"/>
      <c r="F75" s="545"/>
      <c r="G75" s="545"/>
      <c r="H75" s="503"/>
      <c r="I75" s="561" t="s">
        <v>811</v>
      </c>
      <c r="J75" s="566" t="s">
        <v>942</v>
      </c>
      <c r="K75" s="496">
        <v>9658.9</v>
      </c>
      <c r="L75" s="496">
        <v>9658.9</v>
      </c>
      <c r="M75" s="496"/>
      <c r="N75" s="496"/>
      <c r="O75" s="496" t="s">
        <v>315</v>
      </c>
      <c r="P75" s="496"/>
      <c r="Q75" s="496">
        <f t="shared" si="55"/>
        <v>126</v>
      </c>
      <c r="R75" s="496">
        <f t="shared" si="55"/>
        <v>126</v>
      </c>
      <c r="S75" s="520">
        <f>T75</f>
        <v>9659</v>
      </c>
      <c r="T75" s="496">
        <v>9659</v>
      </c>
      <c r="U75" s="496"/>
      <c r="V75" s="496"/>
      <c r="W75" s="496">
        <v>3000</v>
      </c>
      <c r="X75" s="496">
        <v>126</v>
      </c>
      <c r="Y75" s="496">
        <v>126</v>
      </c>
      <c r="Z75" s="496"/>
      <c r="AA75" s="496"/>
      <c r="AB75" s="496">
        <v>3000</v>
      </c>
      <c r="AC75" s="496">
        <v>3000</v>
      </c>
      <c r="AD75" s="496"/>
      <c r="AE75" s="496"/>
      <c r="AF75" s="496"/>
      <c r="AG75" s="496"/>
      <c r="AH75" s="496">
        <f t="shared" si="1"/>
        <v>3126</v>
      </c>
      <c r="AI75" s="496">
        <f t="shared" si="2"/>
        <v>3126</v>
      </c>
      <c r="AJ75" s="496"/>
      <c r="AK75" s="496"/>
      <c r="AL75" s="496">
        <f t="shared" si="56"/>
        <v>3000</v>
      </c>
      <c r="AM75" s="496">
        <f t="shared" si="57"/>
        <v>3000</v>
      </c>
      <c r="AN75" s="496">
        <f t="shared" si="47"/>
        <v>0</v>
      </c>
      <c r="AO75" s="496">
        <f t="shared" si="48"/>
        <v>0</v>
      </c>
      <c r="AP75" s="496">
        <f t="shared" si="58"/>
        <v>3000</v>
      </c>
      <c r="AQ75" s="496">
        <v>3000</v>
      </c>
      <c r="AR75" s="496"/>
      <c r="AS75" s="496"/>
      <c r="AT75" s="494"/>
      <c r="AU75" s="484">
        <f t="shared" si="54"/>
        <v>0</v>
      </c>
      <c r="AV75" s="484">
        <f t="shared" si="33"/>
        <v>0</v>
      </c>
      <c r="AW75" s="521">
        <f>AC75</f>
        <v>3000</v>
      </c>
      <c r="AX75" s="548">
        <f>T75</f>
        <v>9659</v>
      </c>
      <c r="AY75" s="82">
        <f>T75-AX75</f>
        <v>0</v>
      </c>
      <c r="BF75" s="510">
        <f>AQ75</f>
        <v>3000</v>
      </c>
      <c r="BG75" s="488">
        <f t="shared" si="10"/>
        <v>0</v>
      </c>
    </row>
    <row r="76" spans="1:59" s="510" customFormat="1" ht="71.25" customHeight="1">
      <c r="A76" s="553">
        <v>10</v>
      </c>
      <c r="B76" s="567" t="s">
        <v>356</v>
      </c>
      <c r="C76" s="545" t="s">
        <v>333</v>
      </c>
      <c r="D76" s="545"/>
      <c r="E76" s="545" t="s">
        <v>1015</v>
      </c>
      <c r="F76" s="545"/>
      <c r="G76" s="545"/>
      <c r="H76" s="503"/>
      <c r="I76" s="494" t="s">
        <v>357</v>
      </c>
      <c r="J76" s="536" t="s">
        <v>964</v>
      </c>
      <c r="K76" s="546">
        <v>279797.8</v>
      </c>
      <c r="L76" s="546">
        <v>121838</v>
      </c>
      <c r="M76" s="496"/>
      <c r="N76" s="496"/>
      <c r="O76" s="496"/>
      <c r="P76" s="496"/>
      <c r="Q76" s="496"/>
      <c r="R76" s="496"/>
      <c r="S76" s="520">
        <f>T76</f>
        <v>50000</v>
      </c>
      <c r="T76" s="496">
        <v>50000</v>
      </c>
      <c r="U76" s="496"/>
      <c r="V76" s="496"/>
      <c r="W76" s="496"/>
      <c r="X76" s="496"/>
      <c r="Y76" s="496"/>
      <c r="Z76" s="496"/>
      <c r="AA76" s="496"/>
      <c r="AB76" s="496"/>
      <c r="AC76" s="496"/>
      <c r="AD76" s="496"/>
      <c r="AE76" s="496"/>
      <c r="AF76" s="496"/>
      <c r="AG76" s="496"/>
      <c r="AH76" s="496">
        <f>AI76</f>
        <v>1018</v>
      </c>
      <c r="AI76" s="496">
        <v>1018</v>
      </c>
      <c r="AJ76" s="496"/>
      <c r="AK76" s="496"/>
      <c r="AL76" s="496"/>
      <c r="AM76" s="496"/>
      <c r="AN76" s="496"/>
      <c r="AO76" s="496"/>
      <c r="AP76" s="496">
        <f t="shared" si="58"/>
        <v>6387</v>
      </c>
      <c r="AQ76" s="496">
        <f>5787+600</f>
        <v>6387</v>
      </c>
      <c r="AR76" s="496"/>
      <c r="AS76" s="496"/>
      <c r="AT76" s="494"/>
      <c r="AU76" s="484">
        <f t="shared" si="54"/>
        <v>0</v>
      </c>
      <c r="AV76" s="484"/>
      <c r="AW76" s="521"/>
      <c r="AX76" s="548"/>
      <c r="AY76" s="82"/>
      <c r="BG76" s="488"/>
    </row>
    <row r="77" spans="1:59" s="80" customFormat="1" ht="59.25" customHeight="1">
      <c r="A77" s="523" t="s">
        <v>279</v>
      </c>
      <c r="B77" s="568" t="s">
        <v>289</v>
      </c>
      <c r="C77" s="569"/>
      <c r="D77" s="569"/>
      <c r="E77" s="569"/>
      <c r="F77" s="569"/>
      <c r="G77" s="569"/>
      <c r="H77" s="526"/>
      <c r="I77" s="526"/>
      <c r="J77" s="570">
        <f>J78</f>
        <v>0</v>
      </c>
      <c r="K77" s="525">
        <f t="shared" ref="K77:AS78" si="59">K78</f>
        <v>9900</v>
      </c>
      <c r="L77" s="525">
        <f t="shared" si="59"/>
        <v>9900</v>
      </c>
      <c r="M77" s="525">
        <f t="shared" si="59"/>
        <v>0</v>
      </c>
      <c r="N77" s="525">
        <f t="shared" si="59"/>
        <v>0</v>
      </c>
      <c r="O77" s="525">
        <f t="shared" si="59"/>
        <v>0</v>
      </c>
      <c r="P77" s="525">
        <f t="shared" si="59"/>
        <v>0</v>
      </c>
      <c r="Q77" s="525">
        <f t="shared" si="59"/>
        <v>85</v>
      </c>
      <c r="R77" s="525">
        <f t="shared" si="59"/>
        <v>85</v>
      </c>
      <c r="S77" s="525">
        <f t="shared" si="59"/>
        <v>9900</v>
      </c>
      <c r="T77" s="525">
        <f t="shared" si="59"/>
        <v>9900</v>
      </c>
      <c r="U77" s="525">
        <f t="shared" si="59"/>
        <v>0</v>
      </c>
      <c r="V77" s="525">
        <f t="shared" si="59"/>
        <v>0</v>
      </c>
      <c r="W77" s="525"/>
      <c r="X77" s="525">
        <f t="shared" si="59"/>
        <v>85</v>
      </c>
      <c r="Y77" s="525">
        <f t="shared" si="59"/>
        <v>85</v>
      </c>
      <c r="Z77" s="525">
        <f t="shared" si="59"/>
        <v>0</v>
      </c>
      <c r="AA77" s="525">
        <f t="shared" si="59"/>
        <v>0</v>
      </c>
      <c r="AB77" s="525">
        <f t="shared" si="59"/>
        <v>0</v>
      </c>
      <c r="AC77" s="525">
        <f t="shared" si="59"/>
        <v>0</v>
      </c>
      <c r="AD77" s="525">
        <f t="shared" si="59"/>
        <v>0</v>
      </c>
      <c r="AE77" s="525">
        <f t="shared" si="59"/>
        <v>0</v>
      </c>
      <c r="AF77" s="525">
        <f t="shared" si="59"/>
        <v>0</v>
      </c>
      <c r="AG77" s="525">
        <f t="shared" si="59"/>
        <v>0</v>
      </c>
      <c r="AH77" s="525">
        <f t="shared" si="59"/>
        <v>85</v>
      </c>
      <c r="AI77" s="525">
        <f t="shared" si="59"/>
        <v>85</v>
      </c>
      <c r="AJ77" s="525"/>
      <c r="AK77" s="525"/>
      <c r="AL77" s="525">
        <f t="shared" si="59"/>
        <v>5000</v>
      </c>
      <c r="AM77" s="525">
        <f t="shared" si="59"/>
        <v>5000</v>
      </c>
      <c r="AN77" s="525">
        <f t="shared" si="59"/>
        <v>0</v>
      </c>
      <c r="AO77" s="525">
        <f t="shared" si="59"/>
        <v>0</v>
      </c>
      <c r="AP77" s="525">
        <f t="shared" si="59"/>
        <v>3500</v>
      </c>
      <c r="AQ77" s="525">
        <f t="shared" si="59"/>
        <v>3500</v>
      </c>
      <c r="AR77" s="525">
        <f t="shared" si="59"/>
        <v>0</v>
      </c>
      <c r="AS77" s="525">
        <f t="shared" si="59"/>
        <v>0</v>
      </c>
      <c r="AT77" s="526"/>
      <c r="AU77" s="484">
        <f t="shared" si="54"/>
        <v>0</v>
      </c>
      <c r="AV77" s="501"/>
      <c r="AW77" s="541"/>
      <c r="AX77" s="542"/>
      <c r="BG77" s="488">
        <f t="shared" si="10"/>
        <v>1500</v>
      </c>
    </row>
    <row r="78" spans="1:59" s="80" customFormat="1" ht="59.25" customHeight="1">
      <c r="A78" s="523" t="s">
        <v>35</v>
      </c>
      <c r="B78" s="557" t="s">
        <v>45</v>
      </c>
      <c r="C78" s="569"/>
      <c r="D78" s="569"/>
      <c r="E78" s="569"/>
      <c r="F78" s="569"/>
      <c r="G78" s="569"/>
      <c r="H78" s="526"/>
      <c r="I78" s="526"/>
      <c r="J78" s="570">
        <f>SUM(J79:J79)</f>
        <v>0</v>
      </c>
      <c r="K78" s="525">
        <f>K79</f>
        <v>9900</v>
      </c>
      <c r="L78" s="525">
        <f t="shared" si="59"/>
        <v>9900</v>
      </c>
      <c r="M78" s="525">
        <f t="shared" si="59"/>
        <v>0</v>
      </c>
      <c r="N78" s="525">
        <f t="shared" si="59"/>
        <v>0</v>
      </c>
      <c r="O78" s="525">
        <f t="shared" si="59"/>
        <v>0</v>
      </c>
      <c r="P78" s="525">
        <f t="shared" si="59"/>
        <v>0</v>
      </c>
      <c r="Q78" s="525">
        <f t="shared" si="59"/>
        <v>85</v>
      </c>
      <c r="R78" s="525">
        <f t="shared" si="59"/>
        <v>85</v>
      </c>
      <c r="S78" s="525">
        <f t="shared" si="59"/>
        <v>9900</v>
      </c>
      <c r="T78" s="525">
        <f t="shared" si="59"/>
        <v>9900</v>
      </c>
      <c r="U78" s="525">
        <f t="shared" si="59"/>
        <v>0</v>
      </c>
      <c r="V78" s="525">
        <f t="shared" si="59"/>
        <v>0</v>
      </c>
      <c r="W78" s="525">
        <f t="shared" si="59"/>
        <v>0</v>
      </c>
      <c r="X78" s="525">
        <f t="shared" si="59"/>
        <v>85</v>
      </c>
      <c r="Y78" s="525">
        <f t="shared" si="59"/>
        <v>85</v>
      </c>
      <c r="Z78" s="525">
        <f t="shared" si="59"/>
        <v>0</v>
      </c>
      <c r="AA78" s="525">
        <f t="shared" si="59"/>
        <v>0</v>
      </c>
      <c r="AB78" s="525">
        <f t="shared" si="59"/>
        <v>0</v>
      </c>
      <c r="AC78" s="525">
        <f t="shared" si="59"/>
        <v>0</v>
      </c>
      <c r="AD78" s="525">
        <f t="shared" si="59"/>
        <v>0</v>
      </c>
      <c r="AE78" s="525">
        <f t="shared" si="59"/>
        <v>0</v>
      </c>
      <c r="AF78" s="525">
        <f t="shared" si="59"/>
        <v>0</v>
      </c>
      <c r="AG78" s="525">
        <f t="shared" si="59"/>
        <v>0</v>
      </c>
      <c r="AH78" s="525">
        <f t="shared" si="59"/>
        <v>85</v>
      </c>
      <c r="AI78" s="525">
        <f t="shared" si="59"/>
        <v>85</v>
      </c>
      <c r="AJ78" s="525">
        <f t="shared" si="59"/>
        <v>0</v>
      </c>
      <c r="AK78" s="525">
        <f t="shared" si="59"/>
        <v>0</v>
      </c>
      <c r="AL78" s="525">
        <f t="shared" si="59"/>
        <v>5000</v>
      </c>
      <c r="AM78" s="525">
        <f t="shared" si="59"/>
        <v>5000</v>
      </c>
      <c r="AN78" s="525">
        <f t="shared" si="59"/>
        <v>0</v>
      </c>
      <c r="AO78" s="525">
        <f t="shared" si="59"/>
        <v>0</v>
      </c>
      <c r="AP78" s="525">
        <f t="shared" si="59"/>
        <v>3500</v>
      </c>
      <c r="AQ78" s="525">
        <f t="shared" si="59"/>
        <v>3500</v>
      </c>
      <c r="AR78" s="525">
        <f t="shared" si="59"/>
        <v>0</v>
      </c>
      <c r="AS78" s="525">
        <f t="shared" si="59"/>
        <v>0</v>
      </c>
      <c r="AT78" s="526"/>
      <c r="AU78" s="484">
        <f t="shared" si="54"/>
        <v>0</v>
      </c>
      <c r="AV78" s="501"/>
      <c r="AW78" s="541"/>
      <c r="AX78" s="542"/>
      <c r="BG78" s="488">
        <f t="shared" si="10"/>
        <v>1500</v>
      </c>
    </row>
    <row r="79" spans="1:59" s="510" customFormat="1" ht="59.25" customHeight="1">
      <c r="A79" s="553">
        <v>1</v>
      </c>
      <c r="B79" s="554" t="s">
        <v>354</v>
      </c>
      <c r="C79" s="545" t="s">
        <v>333</v>
      </c>
      <c r="D79" s="545"/>
      <c r="E79" s="494" t="s">
        <v>983</v>
      </c>
      <c r="F79" s="545"/>
      <c r="G79" s="545"/>
      <c r="H79" s="503"/>
      <c r="I79" s="494" t="s">
        <v>821</v>
      </c>
      <c r="J79" s="495" t="s">
        <v>981</v>
      </c>
      <c r="K79" s="496">
        <f>L79</f>
        <v>9900</v>
      </c>
      <c r="L79" s="496">
        <v>9900</v>
      </c>
      <c r="M79" s="571"/>
      <c r="N79" s="571"/>
      <c r="O79" s="571"/>
      <c r="P79" s="571"/>
      <c r="Q79" s="496">
        <f>M79+X79</f>
        <v>85</v>
      </c>
      <c r="R79" s="496">
        <f>N79+Y79</f>
        <v>85</v>
      </c>
      <c r="S79" s="520">
        <v>9900</v>
      </c>
      <c r="T79" s="520">
        <v>9900</v>
      </c>
      <c r="U79" s="571"/>
      <c r="V79" s="571"/>
      <c r="W79" s="571"/>
      <c r="X79" s="520">
        <v>85</v>
      </c>
      <c r="Y79" s="520">
        <v>85</v>
      </c>
      <c r="Z79" s="571"/>
      <c r="AA79" s="571"/>
      <c r="AB79" s="571"/>
      <c r="AC79" s="571"/>
      <c r="AD79" s="571"/>
      <c r="AE79" s="571"/>
      <c r="AF79" s="571"/>
      <c r="AG79" s="571"/>
      <c r="AH79" s="496">
        <f>X79+AB79</f>
        <v>85</v>
      </c>
      <c r="AI79" s="496">
        <f>Y79+AC79</f>
        <v>85</v>
      </c>
      <c r="AJ79" s="496"/>
      <c r="AK79" s="496"/>
      <c r="AL79" s="496">
        <f>AM79</f>
        <v>5000</v>
      </c>
      <c r="AM79" s="496">
        <v>5000</v>
      </c>
      <c r="AN79" s="496">
        <f>AR79</f>
        <v>0</v>
      </c>
      <c r="AO79" s="496">
        <f>AS79</f>
        <v>0</v>
      </c>
      <c r="AP79" s="520">
        <f>AQ79</f>
        <v>3500</v>
      </c>
      <c r="AQ79" s="520">
        <v>3500</v>
      </c>
      <c r="AR79" s="571"/>
      <c r="AS79" s="571"/>
      <c r="AT79" s="494" t="s">
        <v>1068</v>
      </c>
      <c r="AU79" s="484">
        <f>AP79-AQ79</f>
        <v>0</v>
      </c>
      <c r="AV79" s="484">
        <f>V79-AA79</f>
        <v>0</v>
      </c>
      <c r="AW79" s="562"/>
      <c r="AX79" s="572"/>
      <c r="BG79" s="488">
        <f>AL79-AQ79</f>
        <v>1500</v>
      </c>
    </row>
    <row r="80" spans="1:59" s="81" customFormat="1" ht="59.25" customHeight="1">
      <c r="A80" s="489" t="s">
        <v>280</v>
      </c>
      <c r="B80" s="573" t="s">
        <v>169</v>
      </c>
      <c r="C80" s="550"/>
      <c r="D80" s="550"/>
      <c r="E80" s="550"/>
      <c r="F80" s="550"/>
      <c r="G80" s="550"/>
      <c r="H80" s="574"/>
      <c r="I80" s="480"/>
      <c r="J80" s="481"/>
      <c r="K80" s="482"/>
      <c r="L80" s="482"/>
      <c r="M80" s="482"/>
      <c r="N80" s="482"/>
      <c r="O80" s="482"/>
      <c r="P80" s="482"/>
      <c r="Q80" s="482"/>
      <c r="R80" s="482"/>
      <c r="S80" s="482">
        <f>S81</f>
        <v>15500</v>
      </c>
      <c r="T80" s="482">
        <f t="shared" ref="T80:AS80" si="60">T81</f>
        <v>15500</v>
      </c>
      <c r="U80" s="482">
        <f t="shared" si="60"/>
        <v>0</v>
      </c>
      <c r="V80" s="482">
        <f t="shared" si="60"/>
        <v>0</v>
      </c>
      <c r="W80" s="482"/>
      <c r="X80" s="482">
        <f t="shared" si="60"/>
        <v>34</v>
      </c>
      <c r="Y80" s="482">
        <f t="shared" si="60"/>
        <v>34</v>
      </c>
      <c r="Z80" s="482">
        <f t="shared" si="60"/>
        <v>0</v>
      </c>
      <c r="AA80" s="482">
        <f t="shared" si="60"/>
        <v>0</v>
      </c>
      <c r="AB80" s="482">
        <f t="shared" si="60"/>
        <v>0</v>
      </c>
      <c r="AC80" s="482">
        <f t="shared" si="60"/>
        <v>0</v>
      </c>
      <c r="AD80" s="482">
        <f t="shared" si="60"/>
        <v>0</v>
      </c>
      <c r="AE80" s="482">
        <f t="shared" si="60"/>
        <v>0</v>
      </c>
      <c r="AF80" s="482">
        <f t="shared" si="60"/>
        <v>0</v>
      </c>
      <c r="AG80" s="482">
        <f t="shared" si="60"/>
        <v>0</v>
      </c>
      <c r="AH80" s="482">
        <f t="shared" si="60"/>
        <v>34</v>
      </c>
      <c r="AI80" s="482">
        <f t="shared" si="60"/>
        <v>34</v>
      </c>
      <c r="AJ80" s="482"/>
      <c r="AK80" s="482"/>
      <c r="AL80" s="482">
        <f t="shared" si="60"/>
        <v>100</v>
      </c>
      <c r="AM80" s="482">
        <f t="shared" si="60"/>
        <v>100</v>
      </c>
      <c r="AN80" s="482">
        <f t="shared" si="60"/>
        <v>0</v>
      </c>
      <c r="AO80" s="482">
        <f t="shared" si="60"/>
        <v>0</v>
      </c>
      <c r="AP80" s="482">
        <f t="shared" si="60"/>
        <v>100</v>
      </c>
      <c r="AQ80" s="482">
        <f t="shared" si="60"/>
        <v>100</v>
      </c>
      <c r="AR80" s="482">
        <f t="shared" si="60"/>
        <v>0</v>
      </c>
      <c r="AS80" s="482">
        <f t="shared" si="60"/>
        <v>0</v>
      </c>
      <c r="AT80" s="558"/>
      <c r="AU80" s="489">
        <f t="shared" si="54"/>
        <v>0</v>
      </c>
      <c r="AV80" s="489"/>
      <c r="AW80" s="480"/>
      <c r="AX80" s="537"/>
      <c r="BG80" s="488">
        <f t="shared" si="10"/>
        <v>0</v>
      </c>
    </row>
    <row r="81" spans="1:60" s="81" customFormat="1" ht="59.25" customHeight="1">
      <c r="A81" s="489"/>
      <c r="B81" s="557" t="s">
        <v>45</v>
      </c>
      <c r="C81" s="550"/>
      <c r="D81" s="550"/>
      <c r="E81" s="550"/>
      <c r="F81" s="550"/>
      <c r="G81" s="550"/>
      <c r="H81" s="574"/>
      <c r="I81" s="480"/>
      <c r="J81" s="481"/>
      <c r="K81" s="519">
        <f t="shared" ref="K81:R81" si="61">SUM(K82:K83)</f>
        <v>0</v>
      </c>
      <c r="L81" s="519">
        <f t="shared" si="61"/>
        <v>0</v>
      </c>
      <c r="M81" s="519">
        <f t="shared" si="61"/>
        <v>0</v>
      </c>
      <c r="N81" s="519">
        <f t="shared" si="61"/>
        <v>0</v>
      </c>
      <c r="O81" s="519">
        <f t="shared" si="61"/>
        <v>0</v>
      </c>
      <c r="P81" s="519">
        <f t="shared" si="61"/>
        <v>0</v>
      </c>
      <c r="Q81" s="519">
        <f t="shared" si="61"/>
        <v>34</v>
      </c>
      <c r="R81" s="519">
        <f t="shared" si="61"/>
        <v>34</v>
      </c>
      <c r="S81" s="519">
        <f>SUM(S82:S83)</f>
        <v>15500</v>
      </c>
      <c r="T81" s="519">
        <f t="shared" ref="T81:AS81" si="62">SUM(T82:T83)</f>
        <v>15500</v>
      </c>
      <c r="U81" s="519">
        <f t="shared" si="62"/>
        <v>0</v>
      </c>
      <c r="V81" s="519">
        <f t="shared" si="62"/>
        <v>0</v>
      </c>
      <c r="W81" s="519">
        <f t="shared" si="62"/>
        <v>0</v>
      </c>
      <c r="X81" s="519">
        <f t="shared" si="62"/>
        <v>34</v>
      </c>
      <c r="Y81" s="519">
        <f t="shared" si="62"/>
        <v>34</v>
      </c>
      <c r="Z81" s="519">
        <f t="shared" si="62"/>
        <v>0</v>
      </c>
      <c r="AA81" s="519">
        <f t="shared" si="62"/>
        <v>0</v>
      </c>
      <c r="AB81" s="519">
        <f t="shared" si="62"/>
        <v>0</v>
      </c>
      <c r="AC81" s="519">
        <f t="shared" si="62"/>
        <v>0</v>
      </c>
      <c r="AD81" s="519">
        <f t="shared" si="62"/>
        <v>0</v>
      </c>
      <c r="AE81" s="519">
        <f t="shared" si="62"/>
        <v>0</v>
      </c>
      <c r="AF81" s="519">
        <f t="shared" si="62"/>
        <v>0</v>
      </c>
      <c r="AG81" s="519">
        <f t="shared" si="62"/>
        <v>0</v>
      </c>
      <c r="AH81" s="519">
        <f t="shared" si="62"/>
        <v>34</v>
      </c>
      <c r="AI81" s="519">
        <f t="shared" si="62"/>
        <v>34</v>
      </c>
      <c r="AJ81" s="519">
        <f t="shared" si="62"/>
        <v>0</v>
      </c>
      <c r="AK81" s="519">
        <f t="shared" si="62"/>
        <v>0</v>
      </c>
      <c r="AL81" s="519">
        <f t="shared" si="62"/>
        <v>100</v>
      </c>
      <c r="AM81" s="519">
        <f t="shared" si="62"/>
        <v>100</v>
      </c>
      <c r="AN81" s="519">
        <f t="shared" si="62"/>
        <v>0</v>
      </c>
      <c r="AO81" s="519">
        <f t="shared" si="62"/>
        <v>0</v>
      </c>
      <c r="AP81" s="519">
        <f t="shared" si="62"/>
        <v>100</v>
      </c>
      <c r="AQ81" s="519">
        <f t="shared" si="62"/>
        <v>100</v>
      </c>
      <c r="AR81" s="519">
        <f t="shared" si="62"/>
        <v>0</v>
      </c>
      <c r="AS81" s="519">
        <f t="shared" si="62"/>
        <v>0</v>
      </c>
      <c r="AT81" s="481"/>
      <c r="AU81" s="489"/>
      <c r="AV81" s="489"/>
      <c r="AW81" s="480"/>
      <c r="AX81" s="537"/>
      <c r="BG81" s="488">
        <f t="shared" si="10"/>
        <v>0</v>
      </c>
    </row>
    <row r="82" spans="1:60" s="510" customFormat="1" ht="59.25" customHeight="1">
      <c r="A82" s="553">
        <v>2</v>
      </c>
      <c r="B82" s="554" t="s">
        <v>355</v>
      </c>
      <c r="C82" s="545" t="s">
        <v>333</v>
      </c>
      <c r="D82" s="545"/>
      <c r="E82" s="545"/>
      <c r="F82" s="545"/>
      <c r="G82" s="545"/>
      <c r="H82" s="503"/>
      <c r="I82" s="503"/>
      <c r="J82" s="563"/>
      <c r="K82" s="496"/>
      <c r="L82" s="496"/>
      <c r="M82" s="496"/>
      <c r="N82" s="496"/>
      <c r="O82" s="496"/>
      <c r="P82" s="496"/>
      <c r="Q82" s="496">
        <f>M82+X82</f>
        <v>34</v>
      </c>
      <c r="R82" s="496">
        <f>N82+Y82</f>
        <v>34</v>
      </c>
      <c r="S82" s="496">
        <v>2500</v>
      </c>
      <c r="T82" s="496">
        <v>2500</v>
      </c>
      <c r="U82" s="496"/>
      <c r="V82" s="496"/>
      <c r="W82" s="496"/>
      <c r="X82" s="496">
        <v>34</v>
      </c>
      <c r="Y82" s="496">
        <v>34</v>
      </c>
      <c r="Z82" s="496"/>
      <c r="AA82" s="496"/>
      <c r="AB82" s="496"/>
      <c r="AC82" s="496"/>
      <c r="AD82" s="496"/>
      <c r="AE82" s="496"/>
      <c r="AF82" s="496"/>
      <c r="AG82" s="496"/>
      <c r="AH82" s="496">
        <f t="shared" ref="AH82:AI83" si="63">X82+AB82</f>
        <v>34</v>
      </c>
      <c r="AI82" s="496">
        <f t="shared" si="63"/>
        <v>34</v>
      </c>
      <c r="AJ82" s="496"/>
      <c r="AK82" s="496"/>
      <c r="AL82" s="496">
        <f t="shared" ref="AL82:AO82" si="64">AP82</f>
        <v>50</v>
      </c>
      <c r="AM82" s="496">
        <f t="shared" si="64"/>
        <v>50</v>
      </c>
      <c r="AN82" s="496">
        <f t="shared" si="64"/>
        <v>0</v>
      </c>
      <c r="AO82" s="496">
        <f t="shared" si="64"/>
        <v>0</v>
      </c>
      <c r="AP82" s="520">
        <f>AQ82</f>
        <v>50</v>
      </c>
      <c r="AQ82" s="520">
        <v>50</v>
      </c>
      <c r="AR82" s="496"/>
      <c r="AS82" s="496"/>
      <c r="AT82" s="503"/>
      <c r="AU82" s="484">
        <f t="shared" si="54"/>
        <v>0</v>
      </c>
      <c r="AV82" s="484">
        <f>V82-AA82</f>
        <v>0</v>
      </c>
      <c r="AW82" s="562"/>
      <c r="AX82" s="572"/>
      <c r="BG82" s="488">
        <f t="shared" si="10"/>
        <v>0</v>
      </c>
    </row>
    <row r="83" spans="1:60" s="82" customFormat="1" ht="59.25" customHeight="1">
      <c r="A83" s="553">
        <v>3</v>
      </c>
      <c r="B83" s="552" t="s">
        <v>358</v>
      </c>
      <c r="C83" s="545" t="s">
        <v>333</v>
      </c>
      <c r="D83" s="545"/>
      <c r="E83" s="545"/>
      <c r="F83" s="545"/>
      <c r="G83" s="545"/>
      <c r="H83" s="494"/>
      <c r="I83" s="494"/>
      <c r="J83" s="495"/>
      <c r="K83" s="496"/>
      <c r="L83" s="496"/>
      <c r="M83" s="496"/>
      <c r="N83" s="496"/>
      <c r="O83" s="496"/>
      <c r="P83" s="496"/>
      <c r="Q83" s="496">
        <f>M83+X83</f>
        <v>0</v>
      </c>
      <c r="R83" s="496">
        <f>N83+Y83</f>
        <v>0</v>
      </c>
      <c r="S83" s="496">
        <v>13000</v>
      </c>
      <c r="T83" s="496">
        <v>13000</v>
      </c>
      <c r="U83" s="496"/>
      <c r="V83" s="496"/>
      <c r="W83" s="496"/>
      <c r="X83" s="496"/>
      <c r="Y83" s="496"/>
      <c r="Z83" s="496"/>
      <c r="AA83" s="496"/>
      <c r="AB83" s="496"/>
      <c r="AC83" s="496"/>
      <c r="AD83" s="496"/>
      <c r="AE83" s="496"/>
      <c r="AF83" s="496"/>
      <c r="AG83" s="496"/>
      <c r="AH83" s="496">
        <f t="shared" si="63"/>
        <v>0</v>
      </c>
      <c r="AI83" s="496">
        <f t="shared" si="63"/>
        <v>0</v>
      </c>
      <c r="AJ83" s="496"/>
      <c r="AK83" s="496"/>
      <c r="AL83" s="496">
        <f>AP83</f>
        <v>50</v>
      </c>
      <c r="AM83" s="496">
        <f>AQ83</f>
        <v>50</v>
      </c>
      <c r="AN83" s="496">
        <f>AR83</f>
        <v>0</v>
      </c>
      <c r="AO83" s="496">
        <f>AS83</f>
        <v>0</v>
      </c>
      <c r="AP83" s="496">
        <f>AQ83</f>
        <v>50</v>
      </c>
      <c r="AQ83" s="496">
        <v>50</v>
      </c>
      <c r="AR83" s="496"/>
      <c r="AS83" s="496"/>
      <c r="AT83" s="494"/>
      <c r="AU83" s="484">
        <f>AP83-AQ83</f>
        <v>0</v>
      </c>
      <c r="AV83" s="484">
        <f>V83-AA83</f>
        <v>0</v>
      </c>
      <c r="AW83" s="521"/>
      <c r="AX83" s="548">
        <f>T83</f>
        <v>13000</v>
      </c>
      <c r="AY83" s="82">
        <f>T83-AX83</f>
        <v>0</v>
      </c>
      <c r="BB83" s="565"/>
      <c r="BF83" s="82">
        <f>AQ83</f>
        <v>50</v>
      </c>
      <c r="BG83" s="488">
        <f t="shared" si="10"/>
        <v>0</v>
      </c>
    </row>
    <row r="84" spans="1:60" s="82" customFormat="1" ht="59.25" hidden="1" customHeight="1">
      <c r="A84" s="553"/>
      <c r="B84" s="552"/>
      <c r="C84" s="545"/>
      <c r="D84" s="545"/>
      <c r="E84" s="545"/>
      <c r="F84" s="545"/>
      <c r="G84" s="545"/>
      <c r="H84" s="494"/>
      <c r="I84" s="494"/>
      <c r="J84" s="495"/>
      <c r="K84" s="496"/>
      <c r="L84" s="496"/>
      <c r="M84" s="496"/>
      <c r="N84" s="496"/>
      <c r="O84" s="496"/>
      <c r="P84" s="496"/>
      <c r="Q84" s="496"/>
      <c r="R84" s="496"/>
      <c r="S84" s="496"/>
      <c r="T84" s="496"/>
      <c r="U84" s="496"/>
      <c r="V84" s="496"/>
      <c r="W84" s="496"/>
      <c r="X84" s="496"/>
      <c r="Y84" s="496"/>
      <c r="Z84" s="496"/>
      <c r="AA84" s="496"/>
      <c r="AB84" s="496"/>
      <c r="AC84" s="496"/>
      <c r="AD84" s="496"/>
      <c r="AE84" s="496"/>
      <c r="AF84" s="496"/>
      <c r="AG84" s="496"/>
      <c r="AH84" s="496"/>
      <c r="AI84" s="496"/>
      <c r="AJ84" s="496"/>
      <c r="AK84" s="496"/>
      <c r="AL84" s="496"/>
      <c r="AM84" s="496"/>
      <c r="AN84" s="496"/>
      <c r="AO84" s="496"/>
      <c r="AP84" s="496"/>
      <c r="AQ84" s="496"/>
      <c r="AR84" s="496"/>
      <c r="AS84" s="496"/>
      <c r="AT84" s="494"/>
      <c r="AU84" s="484"/>
      <c r="AV84" s="484"/>
      <c r="AW84" s="521"/>
      <c r="AX84" s="548"/>
      <c r="BB84" s="575"/>
      <c r="BG84" s="488"/>
    </row>
    <row r="85" spans="1:60" s="81" customFormat="1" ht="59.25" customHeight="1">
      <c r="A85" s="478"/>
      <c r="B85" s="479" t="s">
        <v>331</v>
      </c>
      <c r="C85" s="480"/>
      <c r="D85" s="480"/>
      <c r="E85" s="480"/>
      <c r="F85" s="480"/>
      <c r="G85" s="480"/>
      <c r="H85" s="480"/>
      <c r="I85" s="480"/>
      <c r="J85" s="481"/>
      <c r="K85" s="482"/>
      <c r="L85" s="482"/>
      <c r="M85" s="482"/>
      <c r="N85" s="482"/>
      <c r="O85" s="482"/>
      <c r="P85" s="482"/>
      <c r="Q85" s="496"/>
      <c r="R85" s="496"/>
      <c r="S85" s="482"/>
      <c r="T85" s="482"/>
      <c r="U85" s="482"/>
      <c r="V85" s="482"/>
      <c r="W85" s="482"/>
      <c r="X85" s="482"/>
      <c r="Y85" s="482"/>
      <c r="Z85" s="482"/>
      <c r="AA85" s="482"/>
      <c r="AB85" s="482"/>
      <c r="AC85" s="482">
        <v>46928</v>
      </c>
      <c r="AD85" s="482"/>
      <c r="AE85" s="482"/>
      <c r="AF85" s="482"/>
      <c r="AG85" s="482"/>
      <c r="AH85" s="482"/>
      <c r="AI85" s="482"/>
      <c r="AJ85" s="482"/>
      <c r="AK85" s="482"/>
      <c r="AL85" s="482"/>
      <c r="AM85" s="482"/>
      <c r="AN85" s="482"/>
      <c r="AO85" s="482"/>
      <c r="AP85" s="482"/>
      <c r="AQ85" s="482">
        <v>49201</v>
      </c>
      <c r="AR85" s="482"/>
      <c r="AS85" s="482"/>
      <c r="AT85" s="489">
        <f>AQ85-AQ86</f>
        <v>0</v>
      </c>
      <c r="AU85" s="484"/>
      <c r="AV85" s="484">
        <f t="shared" si="33"/>
        <v>0</v>
      </c>
      <c r="AW85" s="484"/>
      <c r="AX85" s="537"/>
      <c r="BG85" s="488">
        <f t="shared" ref="BG85:BG112" si="65">AL85-AQ85</f>
        <v>-49201</v>
      </c>
    </row>
    <row r="86" spans="1:60" s="81" customFormat="1" ht="59.25" customHeight="1">
      <c r="A86" s="533" t="s">
        <v>48</v>
      </c>
      <c r="B86" s="534" t="s">
        <v>360</v>
      </c>
      <c r="C86" s="480"/>
      <c r="D86" s="480"/>
      <c r="E86" s="480"/>
      <c r="F86" s="480"/>
      <c r="G86" s="480"/>
      <c r="H86" s="540"/>
      <c r="I86" s="480"/>
      <c r="J86" s="481"/>
      <c r="K86" s="482">
        <f t="shared" ref="K86:AI86" si="66">K87+K93+K103+K110</f>
        <v>353362</v>
      </c>
      <c r="L86" s="482">
        <f t="shared" si="66"/>
        <v>195570</v>
      </c>
      <c r="M86" s="482">
        <f t="shared" si="66"/>
        <v>52320</v>
      </c>
      <c r="N86" s="482">
        <f t="shared" si="66"/>
        <v>0</v>
      </c>
      <c r="O86" s="482">
        <f t="shared" si="66"/>
        <v>52320</v>
      </c>
      <c r="P86" s="482">
        <f t="shared" si="66"/>
        <v>0</v>
      </c>
      <c r="Q86" s="482">
        <f t="shared" si="66"/>
        <v>98846</v>
      </c>
      <c r="R86" s="482">
        <f t="shared" si="66"/>
        <v>8504</v>
      </c>
      <c r="S86" s="482">
        <f t="shared" si="66"/>
        <v>299252.59999999998</v>
      </c>
      <c r="T86" s="482">
        <f t="shared" si="66"/>
        <v>194387</v>
      </c>
      <c r="U86" s="482">
        <f t="shared" si="66"/>
        <v>0</v>
      </c>
      <c r="V86" s="482">
        <f t="shared" si="66"/>
        <v>0</v>
      </c>
      <c r="W86" s="482">
        <f t="shared" si="66"/>
        <v>139944</v>
      </c>
      <c r="X86" s="482">
        <f t="shared" si="66"/>
        <v>46526</v>
      </c>
      <c r="Y86" s="482">
        <f t="shared" si="66"/>
        <v>8504</v>
      </c>
      <c r="Z86" s="482">
        <f t="shared" si="66"/>
        <v>0</v>
      </c>
      <c r="AA86" s="482">
        <f t="shared" si="66"/>
        <v>0</v>
      </c>
      <c r="AB86" s="482">
        <f t="shared" si="66"/>
        <v>71210</v>
      </c>
      <c r="AC86" s="482">
        <f t="shared" si="66"/>
        <v>36710</v>
      </c>
      <c r="AD86" s="482">
        <f t="shared" si="66"/>
        <v>0</v>
      </c>
      <c r="AE86" s="482">
        <f t="shared" si="66"/>
        <v>0</v>
      </c>
      <c r="AF86" s="482">
        <f t="shared" si="66"/>
        <v>11060.870999999999</v>
      </c>
      <c r="AG86" s="482">
        <f t="shared" si="66"/>
        <v>16152.699415999999</v>
      </c>
      <c r="AH86" s="482">
        <f t="shared" si="66"/>
        <v>123868</v>
      </c>
      <c r="AI86" s="482">
        <f t="shared" si="66"/>
        <v>45214</v>
      </c>
      <c r="AJ86" s="482"/>
      <c r="AK86" s="482"/>
      <c r="AL86" s="482">
        <f t="shared" ref="AL86:AS86" si="67">AL87+AL93+AL103+AL110</f>
        <v>50154</v>
      </c>
      <c r="AM86" s="482">
        <f t="shared" si="67"/>
        <v>50154</v>
      </c>
      <c r="AN86" s="482">
        <f t="shared" si="67"/>
        <v>0</v>
      </c>
      <c r="AO86" s="482">
        <f t="shared" si="67"/>
        <v>0</v>
      </c>
      <c r="AP86" s="482">
        <f t="shared" si="67"/>
        <v>49201</v>
      </c>
      <c r="AQ86" s="482">
        <f t="shared" si="67"/>
        <v>49201</v>
      </c>
      <c r="AR86" s="482">
        <f t="shared" si="67"/>
        <v>0</v>
      </c>
      <c r="AS86" s="482">
        <f t="shared" si="67"/>
        <v>0</v>
      </c>
      <c r="AT86" s="551"/>
      <c r="AU86" s="484">
        <f t="shared" si="54"/>
        <v>0</v>
      </c>
      <c r="AV86" s="484">
        <f t="shared" si="33"/>
        <v>0</v>
      </c>
      <c r="AW86" s="551"/>
      <c r="AX86" s="537"/>
      <c r="BG86" s="488">
        <f t="shared" si="65"/>
        <v>953</v>
      </c>
    </row>
    <row r="87" spans="1:60" s="80" customFormat="1" ht="59.25" customHeight="1">
      <c r="A87" s="478" t="s">
        <v>33</v>
      </c>
      <c r="B87" s="539" t="s">
        <v>287</v>
      </c>
      <c r="C87" s="526"/>
      <c r="D87" s="526"/>
      <c r="E87" s="526"/>
      <c r="F87" s="526"/>
      <c r="G87" s="526"/>
      <c r="H87" s="526"/>
      <c r="I87" s="526"/>
      <c r="J87" s="527"/>
      <c r="K87" s="525">
        <f>K88+K90</f>
        <v>181400</v>
      </c>
      <c r="L87" s="525">
        <f t="shared" ref="L87:AS87" si="68">L88+L90</f>
        <v>38908</v>
      </c>
      <c r="M87" s="525">
        <f t="shared" si="68"/>
        <v>52320</v>
      </c>
      <c r="N87" s="525">
        <f t="shared" si="68"/>
        <v>0</v>
      </c>
      <c r="O87" s="525">
        <f t="shared" si="68"/>
        <v>52320</v>
      </c>
      <c r="P87" s="525">
        <f t="shared" si="68"/>
        <v>0</v>
      </c>
      <c r="Q87" s="525">
        <f t="shared" si="68"/>
        <v>97842</v>
      </c>
      <c r="R87" s="525">
        <f t="shared" si="68"/>
        <v>7500</v>
      </c>
      <c r="S87" s="525">
        <f t="shared" si="68"/>
        <v>112980</v>
      </c>
      <c r="T87" s="525">
        <f t="shared" si="68"/>
        <v>27798</v>
      </c>
      <c r="U87" s="525">
        <f t="shared" si="68"/>
        <v>0</v>
      </c>
      <c r="V87" s="525">
        <f t="shared" si="68"/>
        <v>0</v>
      </c>
      <c r="W87" s="525">
        <f t="shared" ref="W87" si="69">W88+W90</f>
        <v>112250</v>
      </c>
      <c r="X87" s="525">
        <f t="shared" si="68"/>
        <v>45522</v>
      </c>
      <c r="Y87" s="525">
        <f t="shared" si="68"/>
        <v>7500</v>
      </c>
      <c r="Z87" s="525">
        <f t="shared" si="68"/>
        <v>0</v>
      </c>
      <c r="AA87" s="525">
        <f t="shared" si="68"/>
        <v>0</v>
      </c>
      <c r="AB87" s="525">
        <f t="shared" si="68"/>
        <v>32500</v>
      </c>
      <c r="AC87" s="525">
        <f t="shared" si="68"/>
        <v>9000</v>
      </c>
      <c r="AD87" s="525">
        <f t="shared" si="68"/>
        <v>0</v>
      </c>
      <c r="AE87" s="525">
        <f t="shared" si="68"/>
        <v>0</v>
      </c>
      <c r="AF87" s="525">
        <f t="shared" si="68"/>
        <v>6326.3159999999998</v>
      </c>
      <c r="AG87" s="525">
        <f t="shared" si="68"/>
        <v>6348.1444160000001</v>
      </c>
      <c r="AH87" s="525">
        <f t="shared" si="68"/>
        <v>78022</v>
      </c>
      <c r="AI87" s="525">
        <f t="shared" si="68"/>
        <v>16500</v>
      </c>
      <c r="AJ87" s="525"/>
      <c r="AK87" s="525"/>
      <c r="AL87" s="525">
        <f t="shared" si="68"/>
        <v>4600</v>
      </c>
      <c r="AM87" s="525">
        <f t="shared" si="68"/>
        <v>4600</v>
      </c>
      <c r="AN87" s="525">
        <f t="shared" si="68"/>
        <v>0</v>
      </c>
      <c r="AO87" s="525">
        <f t="shared" si="68"/>
        <v>0</v>
      </c>
      <c r="AP87" s="525">
        <f t="shared" si="68"/>
        <v>4600</v>
      </c>
      <c r="AQ87" s="525">
        <f t="shared" si="68"/>
        <v>4600</v>
      </c>
      <c r="AR87" s="525">
        <f t="shared" si="68"/>
        <v>0</v>
      </c>
      <c r="AS87" s="525">
        <f t="shared" si="68"/>
        <v>0</v>
      </c>
      <c r="AT87" s="526"/>
      <c r="AU87" s="484">
        <f t="shared" si="54"/>
        <v>0</v>
      </c>
      <c r="AV87" s="489"/>
      <c r="AW87" s="541"/>
      <c r="AX87" s="542"/>
      <c r="BG87" s="488">
        <f t="shared" si="65"/>
        <v>0</v>
      </c>
    </row>
    <row r="88" spans="1:60" s="81" customFormat="1" ht="59.25" customHeight="1">
      <c r="A88" s="478" t="s">
        <v>35</v>
      </c>
      <c r="B88" s="539" t="s">
        <v>43</v>
      </c>
      <c r="C88" s="480"/>
      <c r="D88" s="480"/>
      <c r="E88" s="480"/>
      <c r="F88" s="480"/>
      <c r="G88" s="480"/>
      <c r="H88" s="480"/>
      <c r="I88" s="480"/>
      <c r="J88" s="481"/>
      <c r="K88" s="482">
        <f>K89</f>
        <v>111000</v>
      </c>
      <c r="L88" s="482">
        <f t="shared" ref="L88:AS88" si="70">L89</f>
        <v>11100</v>
      </c>
      <c r="M88" s="482">
        <f t="shared" si="70"/>
        <v>12320</v>
      </c>
      <c r="N88" s="482">
        <f t="shared" si="70"/>
        <v>0</v>
      </c>
      <c r="O88" s="482">
        <f t="shared" si="70"/>
        <v>12320</v>
      </c>
      <c r="P88" s="482">
        <f t="shared" si="70"/>
        <v>0</v>
      </c>
      <c r="Q88" s="482">
        <f t="shared" si="70"/>
        <v>45750</v>
      </c>
      <c r="R88" s="482">
        <f t="shared" si="70"/>
        <v>0</v>
      </c>
      <c r="S88" s="482">
        <f t="shared" si="70"/>
        <v>87580</v>
      </c>
      <c r="T88" s="482">
        <f t="shared" si="70"/>
        <v>9990</v>
      </c>
      <c r="U88" s="482">
        <f t="shared" si="70"/>
        <v>0</v>
      </c>
      <c r="V88" s="482">
        <f t="shared" si="70"/>
        <v>0</v>
      </c>
      <c r="W88" s="482">
        <f t="shared" si="70"/>
        <v>65750</v>
      </c>
      <c r="X88" s="482">
        <f t="shared" si="70"/>
        <v>33430</v>
      </c>
      <c r="Y88" s="482">
        <f t="shared" si="70"/>
        <v>0</v>
      </c>
      <c r="Z88" s="482">
        <f t="shared" si="70"/>
        <v>0</v>
      </c>
      <c r="AA88" s="482">
        <f t="shared" si="70"/>
        <v>0</v>
      </c>
      <c r="AB88" s="482">
        <f t="shared" si="70"/>
        <v>20000</v>
      </c>
      <c r="AC88" s="482">
        <f t="shared" si="70"/>
        <v>0</v>
      </c>
      <c r="AD88" s="482">
        <f t="shared" si="70"/>
        <v>0</v>
      </c>
      <c r="AE88" s="482">
        <f t="shared" si="70"/>
        <v>0</v>
      </c>
      <c r="AF88" s="482">
        <f t="shared" si="70"/>
        <v>0</v>
      </c>
      <c r="AG88" s="482">
        <f t="shared" si="70"/>
        <v>0</v>
      </c>
      <c r="AH88" s="482">
        <f t="shared" si="70"/>
        <v>53430</v>
      </c>
      <c r="AI88" s="482">
        <f t="shared" si="70"/>
        <v>0</v>
      </c>
      <c r="AJ88" s="482"/>
      <c r="AK88" s="482"/>
      <c r="AL88" s="482">
        <f t="shared" si="70"/>
        <v>2000</v>
      </c>
      <c r="AM88" s="482">
        <f t="shared" si="70"/>
        <v>2000</v>
      </c>
      <c r="AN88" s="482">
        <f t="shared" si="70"/>
        <v>0</v>
      </c>
      <c r="AO88" s="482">
        <f t="shared" si="70"/>
        <v>0</v>
      </c>
      <c r="AP88" s="482">
        <f t="shared" si="70"/>
        <v>2000</v>
      </c>
      <c r="AQ88" s="482">
        <f t="shared" si="70"/>
        <v>2000</v>
      </c>
      <c r="AR88" s="482">
        <f t="shared" si="70"/>
        <v>0</v>
      </c>
      <c r="AS88" s="482">
        <f t="shared" si="70"/>
        <v>0</v>
      </c>
      <c r="AT88" s="480"/>
      <c r="AU88" s="484">
        <f t="shared" si="54"/>
        <v>0</v>
      </c>
      <c r="AV88" s="489"/>
      <c r="AW88" s="576"/>
      <c r="AX88" s="537"/>
      <c r="BG88" s="488">
        <f t="shared" si="65"/>
        <v>0</v>
      </c>
    </row>
    <row r="89" spans="1:60" s="82" customFormat="1" ht="59.25" customHeight="1">
      <c r="A89" s="543">
        <v>1</v>
      </c>
      <c r="B89" s="577" t="s">
        <v>366</v>
      </c>
      <c r="C89" s="494" t="s">
        <v>361</v>
      </c>
      <c r="D89" s="494"/>
      <c r="E89" s="494" t="s">
        <v>985</v>
      </c>
      <c r="F89" s="494"/>
      <c r="G89" s="494"/>
      <c r="H89" s="578" t="s">
        <v>367</v>
      </c>
      <c r="I89" s="578" t="s">
        <v>368</v>
      </c>
      <c r="J89" s="495" t="s">
        <v>369</v>
      </c>
      <c r="K89" s="579">
        <v>111000</v>
      </c>
      <c r="L89" s="579">
        <f>K89-99900</f>
        <v>11100</v>
      </c>
      <c r="M89" s="496">
        <v>12320</v>
      </c>
      <c r="N89" s="496"/>
      <c r="O89" s="496">
        <f>M89</f>
        <v>12320</v>
      </c>
      <c r="P89" s="496"/>
      <c r="Q89" s="496">
        <f>M89+X89</f>
        <v>45750</v>
      </c>
      <c r="R89" s="496">
        <f>N89+Y89</f>
        <v>0</v>
      </c>
      <c r="S89" s="520">
        <v>87580</v>
      </c>
      <c r="T89" s="520">
        <v>9990</v>
      </c>
      <c r="U89" s="496"/>
      <c r="V89" s="496"/>
      <c r="W89" s="496">
        <f>12320+33430+20000</f>
        <v>65750</v>
      </c>
      <c r="X89" s="579">
        <v>33430</v>
      </c>
      <c r="Y89" s="520"/>
      <c r="Z89" s="496"/>
      <c r="AA89" s="496"/>
      <c r="AB89" s="579">
        <v>20000</v>
      </c>
      <c r="AC89" s="520"/>
      <c r="AD89" s="496"/>
      <c r="AE89" s="496"/>
      <c r="AF89" s="547">
        <v>0</v>
      </c>
      <c r="AG89" s="547"/>
      <c r="AH89" s="496">
        <f>X89+AB89</f>
        <v>53430</v>
      </c>
      <c r="AI89" s="496">
        <f>Y89+AC89</f>
        <v>0</v>
      </c>
      <c r="AJ89" s="496"/>
      <c r="AK89" s="496"/>
      <c r="AL89" s="496">
        <f>AM89</f>
        <v>2000</v>
      </c>
      <c r="AM89" s="496">
        <f>AP89</f>
        <v>2000</v>
      </c>
      <c r="AN89" s="496">
        <f>AR89</f>
        <v>0</v>
      </c>
      <c r="AO89" s="496">
        <f>AS89</f>
        <v>0</v>
      </c>
      <c r="AP89" s="496">
        <f>AQ89</f>
        <v>2000</v>
      </c>
      <c r="AQ89" s="496">
        <v>2000</v>
      </c>
      <c r="AR89" s="496"/>
      <c r="AS89" s="496"/>
      <c r="AT89" s="536"/>
      <c r="AU89" s="484">
        <f t="shared" si="54"/>
        <v>0</v>
      </c>
      <c r="AV89" s="484">
        <f>V89-AA89</f>
        <v>0</v>
      </c>
      <c r="AW89" s="536"/>
      <c r="AX89" s="548"/>
      <c r="BG89" s="488">
        <f t="shared" si="65"/>
        <v>0</v>
      </c>
    </row>
    <row r="90" spans="1:60" s="81" customFormat="1" ht="59.25" customHeight="1">
      <c r="A90" s="556" t="s">
        <v>42</v>
      </c>
      <c r="B90" s="557" t="s">
        <v>45</v>
      </c>
      <c r="C90" s="480"/>
      <c r="D90" s="480"/>
      <c r="E90" s="480"/>
      <c r="F90" s="480"/>
      <c r="G90" s="480"/>
      <c r="H90" s="580"/>
      <c r="I90" s="580"/>
      <c r="J90" s="481"/>
      <c r="K90" s="581">
        <f>SUM(K91:K92)</f>
        <v>70400</v>
      </c>
      <c r="L90" s="581">
        <f t="shared" ref="L90:AS90" si="71">SUM(L91:L92)</f>
        <v>27808</v>
      </c>
      <c r="M90" s="581">
        <f t="shared" si="71"/>
        <v>40000</v>
      </c>
      <c r="N90" s="581">
        <f t="shared" si="71"/>
        <v>0</v>
      </c>
      <c r="O90" s="581">
        <f t="shared" si="71"/>
        <v>40000</v>
      </c>
      <c r="P90" s="581">
        <f t="shared" si="71"/>
        <v>0</v>
      </c>
      <c r="Q90" s="581">
        <f t="shared" si="71"/>
        <v>52092</v>
      </c>
      <c r="R90" s="581">
        <f t="shared" si="71"/>
        <v>7500</v>
      </c>
      <c r="S90" s="581">
        <f t="shared" si="71"/>
        <v>25400</v>
      </c>
      <c r="T90" s="581">
        <f t="shared" si="71"/>
        <v>17808</v>
      </c>
      <c r="U90" s="581">
        <f t="shared" si="71"/>
        <v>0</v>
      </c>
      <c r="V90" s="581">
        <f t="shared" si="71"/>
        <v>0</v>
      </c>
      <c r="W90" s="581">
        <f t="shared" si="71"/>
        <v>46500</v>
      </c>
      <c r="X90" s="581">
        <f t="shared" si="71"/>
        <v>12092</v>
      </c>
      <c r="Y90" s="581">
        <f t="shared" si="71"/>
        <v>7500</v>
      </c>
      <c r="Z90" s="581">
        <f t="shared" si="71"/>
        <v>0</v>
      </c>
      <c r="AA90" s="581">
        <f t="shared" si="71"/>
        <v>0</v>
      </c>
      <c r="AB90" s="581">
        <f t="shared" si="71"/>
        <v>12500</v>
      </c>
      <c r="AC90" s="581">
        <f t="shared" si="71"/>
        <v>9000</v>
      </c>
      <c r="AD90" s="581">
        <f t="shared" si="71"/>
        <v>0</v>
      </c>
      <c r="AE90" s="581">
        <f t="shared" si="71"/>
        <v>0</v>
      </c>
      <c r="AF90" s="581">
        <f t="shared" si="71"/>
        <v>6326.3159999999998</v>
      </c>
      <c r="AG90" s="581">
        <f t="shared" si="71"/>
        <v>6348.1444160000001</v>
      </c>
      <c r="AH90" s="581">
        <f t="shared" si="71"/>
        <v>24592</v>
      </c>
      <c r="AI90" s="581">
        <f t="shared" si="71"/>
        <v>16500</v>
      </c>
      <c r="AJ90" s="581">
        <f t="shared" si="71"/>
        <v>0</v>
      </c>
      <c r="AK90" s="581">
        <f t="shared" si="71"/>
        <v>0</v>
      </c>
      <c r="AL90" s="581">
        <f t="shared" si="71"/>
        <v>2600</v>
      </c>
      <c r="AM90" s="581">
        <f t="shared" si="71"/>
        <v>2600</v>
      </c>
      <c r="AN90" s="581">
        <f t="shared" si="71"/>
        <v>0</v>
      </c>
      <c r="AO90" s="581">
        <f t="shared" si="71"/>
        <v>0</v>
      </c>
      <c r="AP90" s="581">
        <f t="shared" si="71"/>
        <v>2600</v>
      </c>
      <c r="AQ90" s="581">
        <f t="shared" si="71"/>
        <v>2600</v>
      </c>
      <c r="AR90" s="581">
        <f t="shared" si="71"/>
        <v>0</v>
      </c>
      <c r="AS90" s="581">
        <f t="shared" si="71"/>
        <v>0</v>
      </c>
      <c r="AT90" s="551"/>
      <c r="AU90" s="484">
        <f t="shared" si="54"/>
        <v>0</v>
      </c>
      <c r="AV90" s="489"/>
      <c r="AW90" s="551"/>
      <c r="AX90" s="537"/>
      <c r="BG90" s="488">
        <f t="shared" si="65"/>
        <v>0</v>
      </c>
    </row>
    <row r="91" spans="1:60" s="82" customFormat="1" ht="59.25" customHeight="1">
      <c r="A91" s="582">
        <v>2</v>
      </c>
      <c r="B91" s="583" t="s">
        <v>362</v>
      </c>
      <c r="C91" s="494" t="s">
        <v>361</v>
      </c>
      <c r="D91" s="494"/>
      <c r="E91" s="494" t="s">
        <v>985</v>
      </c>
      <c r="F91" s="494"/>
      <c r="G91" s="494"/>
      <c r="H91" s="494"/>
      <c r="I91" s="494" t="s">
        <v>986</v>
      </c>
      <c r="J91" s="563" t="s">
        <v>363</v>
      </c>
      <c r="K91" s="496">
        <v>20400</v>
      </c>
      <c r="L91" s="496">
        <v>7808</v>
      </c>
      <c r="M91" s="496">
        <v>10000</v>
      </c>
      <c r="N91" s="496">
        <v>0</v>
      </c>
      <c r="O91" s="496">
        <v>10000</v>
      </c>
      <c r="P91" s="496">
        <v>0</v>
      </c>
      <c r="Q91" s="496">
        <f>M91+X91</f>
        <v>15592</v>
      </c>
      <c r="R91" s="496">
        <f>N91+Y91</f>
        <v>3000</v>
      </c>
      <c r="S91" s="496">
        <v>10400</v>
      </c>
      <c r="T91" s="496">
        <v>7808</v>
      </c>
      <c r="U91" s="496"/>
      <c r="V91" s="496"/>
      <c r="W91" s="496">
        <f>3000+4000</f>
        <v>7000</v>
      </c>
      <c r="X91" s="496">
        <v>5592</v>
      </c>
      <c r="Y91" s="496">
        <v>3000</v>
      </c>
      <c r="Z91" s="496"/>
      <c r="AA91" s="496"/>
      <c r="AB91" s="496">
        <v>4000</v>
      </c>
      <c r="AC91" s="496">
        <v>4000</v>
      </c>
      <c r="AD91" s="496"/>
      <c r="AE91" s="496"/>
      <c r="AF91" s="520">
        <v>3826.3159999999998</v>
      </c>
      <c r="AG91" s="520">
        <v>3848.1444160000001</v>
      </c>
      <c r="AH91" s="496">
        <f>X91+AB91</f>
        <v>9592</v>
      </c>
      <c r="AI91" s="496">
        <f>Y91+AC91</f>
        <v>7000</v>
      </c>
      <c r="AJ91" s="496"/>
      <c r="AK91" s="496"/>
      <c r="AL91" s="496">
        <f>AP91</f>
        <v>800</v>
      </c>
      <c r="AM91" s="496">
        <f>AQ91</f>
        <v>800</v>
      </c>
      <c r="AN91" s="496">
        <f>AR91</f>
        <v>0</v>
      </c>
      <c r="AO91" s="496">
        <f>AS91</f>
        <v>0</v>
      </c>
      <c r="AP91" s="496">
        <f>AQ91</f>
        <v>800</v>
      </c>
      <c r="AQ91" s="496">
        <v>800</v>
      </c>
      <c r="AR91" s="496"/>
      <c r="AS91" s="496"/>
      <c r="AT91" s="536"/>
      <c r="AU91" s="484">
        <f t="shared" si="54"/>
        <v>0</v>
      </c>
      <c r="AV91" s="484">
        <f>V91-AA91</f>
        <v>0</v>
      </c>
      <c r="AW91" s="536"/>
      <c r="AX91" s="548"/>
      <c r="BG91" s="488">
        <f t="shared" si="65"/>
        <v>0</v>
      </c>
    </row>
    <row r="92" spans="1:60" s="593" customFormat="1" ht="59.25" customHeight="1">
      <c r="A92" s="584">
        <v>3</v>
      </c>
      <c r="B92" s="585" t="s">
        <v>364</v>
      </c>
      <c r="C92" s="586" t="s">
        <v>361</v>
      </c>
      <c r="D92" s="586"/>
      <c r="E92" s="586"/>
      <c r="F92" s="586"/>
      <c r="G92" s="586"/>
      <c r="H92" s="586"/>
      <c r="I92" s="586"/>
      <c r="J92" s="587" t="s">
        <v>365</v>
      </c>
      <c r="K92" s="588">
        <v>50000</v>
      </c>
      <c r="L92" s="588">
        <v>20000</v>
      </c>
      <c r="M92" s="588">
        <v>30000</v>
      </c>
      <c r="N92" s="588"/>
      <c r="O92" s="588">
        <v>30000</v>
      </c>
      <c r="P92" s="588">
        <v>0</v>
      </c>
      <c r="Q92" s="588">
        <f>M92+X92</f>
        <v>36500</v>
      </c>
      <c r="R92" s="588">
        <f>N92+Y92</f>
        <v>4500</v>
      </c>
      <c r="S92" s="588">
        <v>15000</v>
      </c>
      <c r="T92" s="588">
        <v>10000</v>
      </c>
      <c r="U92" s="588"/>
      <c r="V92" s="588"/>
      <c r="W92" s="588">
        <f>30000+4500+5000</f>
        <v>39500</v>
      </c>
      <c r="X92" s="588">
        <v>6500</v>
      </c>
      <c r="Y92" s="588">
        <v>4500</v>
      </c>
      <c r="Z92" s="588"/>
      <c r="AA92" s="588"/>
      <c r="AB92" s="588">
        <v>8500</v>
      </c>
      <c r="AC92" s="588">
        <v>5000</v>
      </c>
      <c r="AD92" s="588"/>
      <c r="AE92" s="588"/>
      <c r="AF92" s="589">
        <v>2500</v>
      </c>
      <c r="AG92" s="589">
        <v>2500</v>
      </c>
      <c r="AH92" s="588">
        <f t="shared" ref="AH92:AH109" si="72">X92+AB92</f>
        <v>15000</v>
      </c>
      <c r="AI92" s="588">
        <f t="shared" ref="AI92:AI109" si="73">Y92+AC92</f>
        <v>9500</v>
      </c>
      <c r="AJ92" s="588"/>
      <c r="AK92" s="588"/>
      <c r="AL92" s="588">
        <f t="shared" ref="AL92:AL107" si="74">AP92</f>
        <v>1800</v>
      </c>
      <c r="AM92" s="588">
        <f t="shared" ref="AM92:AM107" si="75">AQ92</f>
        <v>1800</v>
      </c>
      <c r="AN92" s="588">
        <f t="shared" ref="AN92:AN109" si="76">AR92</f>
        <v>0</v>
      </c>
      <c r="AO92" s="588">
        <f t="shared" ref="AO92:AO107" si="77">AS92</f>
        <v>0</v>
      </c>
      <c r="AP92" s="588">
        <f>AQ92</f>
        <v>1800</v>
      </c>
      <c r="AQ92" s="588">
        <v>1800</v>
      </c>
      <c r="AR92" s="588"/>
      <c r="AS92" s="588"/>
      <c r="AT92" s="590"/>
      <c r="AU92" s="591">
        <f t="shared" si="54"/>
        <v>0</v>
      </c>
      <c r="AV92" s="591">
        <f t="shared" ref="AV92:AV116" si="78">V92-AA92</f>
        <v>0</v>
      </c>
      <c r="AW92" s="590"/>
      <c r="AX92" s="592"/>
      <c r="BG92" s="594">
        <f t="shared" si="65"/>
        <v>0</v>
      </c>
    </row>
    <row r="93" spans="1:60" s="80" customFormat="1" ht="59.25" customHeight="1">
      <c r="A93" s="478" t="s">
        <v>46</v>
      </c>
      <c r="B93" s="539" t="s">
        <v>288</v>
      </c>
      <c r="C93" s="526"/>
      <c r="D93" s="526"/>
      <c r="E93" s="526"/>
      <c r="F93" s="526"/>
      <c r="G93" s="526"/>
      <c r="H93" s="526"/>
      <c r="I93" s="526"/>
      <c r="J93" s="527"/>
      <c r="K93" s="525">
        <f>K94</f>
        <v>114062</v>
      </c>
      <c r="L93" s="525">
        <f t="shared" ref="L93:AS93" si="79">L94</f>
        <v>98762</v>
      </c>
      <c r="M93" s="525">
        <f t="shared" si="79"/>
        <v>0</v>
      </c>
      <c r="N93" s="525">
        <f t="shared" si="79"/>
        <v>0</v>
      </c>
      <c r="O93" s="525">
        <f t="shared" si="79"/>
        <v>0</v>
      </c>
      <c r="P93" s="525">
        <f t="shared" si="79"/>
        <v>0</v>
      </c>
      <c r="Q93" s="525">
        <f t="shared" si="79"/>
        <v>724</v>
      </c>
      <c r="R93" s="525">
        <f t="shared" si="79"/>
        <v>724</v>
      </c>
      <c r="S93" s="525">
        <f t="shared" si="79"/>
        <v>106872.6</v>
      </c>
      <c r="T93" s="525">
        <f t="shared" si="79"/>
        <v>93321</v>
      </c>
      <c r="U93" s="525">
        <f t="shared" si="79"/>
        <v>0</v>
      </c>
      <c r="V93" s="525">
        <f t="shared" si="79"/>
        <v>0</v>
      </c>
      <c r="W93" s="525">
        <f t="shared" si="79"/>
        <v>27694</v>
      </c>
      <c r="X93" s="525">
        <f t="shared" si="79"/>
        <v>724</v>
      </c>
      <c r="Y93" s="525">
        <f t="shared" si="79"/>
        <v>724</v>
      </c>
      <c r="Z93" s="525">
        <f t="shared" si="79"/>
        <v>0</v>
      </c>
      <c r="AA93" s="525">
        <f t="shared" si="79"/>
        <v>0</v>
      </c>
      <c r="AB93" s="525">
        <f t="shared" si="79"/>
        <v>38590</v>
      </c>
      <c r="AC93" s="525">
        <f t="shared" si="79"/>
        <v>27590</v>
      </c>
      <c r="AD93" s="525">
        <f t="shared" si="79"/>
        <v>0</v>
      </c>
      <c r="AE93" s="525">
        <f t="shared" si="79"/>
        <v>0</v>
      </c>
      <c r="AF93" s="525">
        <f t="shared" si="79"/>
        <v>4734.5550000000003</v>
      </c>
      <c r="AG93" s="525">
        <f t="shared" si="79"/>
        <v>9804.5550000000003</v>
      </c>
      <c r="AH93" s="525">
        <f t="shared" si="79"/>
        <v>39314</v>
      </c>
      <c r="AI93" s="525">
        <f t="shared" si="79"/>
        <v>28314</v>
      </c>
      <c r="AJ93" s="525"/>
      <c r="AK93" s="525"/>
      <c r="AL93" s="525">
        <f t="shared" si="79"/>
        <v>28134</v>
      </c>
      <c r="AM93" s="525">
        <f t="shared" si="79"/>
        <v>28134</v>
      </c>
      <c r="AN93" s="525">
        <f t="shared" si="79"/>
        <v>0</v>
      </c>
      <c r="AO93" s="525">
        <f t="shared" si="79"/>
        <v>0</v>
      </c>
      <c r="AP93" s="525">
        <f t="shared" si="79"/>
        <v>27681</v>
      </c>
      <c r="AQ93" s="525">
        <f t="shared" si="79"/>
        <v>27681</v>
      </c>
      <c r="AR93" s="525">
        <f t="shared" si="79"/>
        <v>0</v>
      </c>
      <c r="AS93" s="525">
        <f t="shared" si="79"/>
        <v>0</v>
      </c>
      <c r="AT93" s="503"/>
      <c r="AU93" s="484">
        <f t="shared" si="54"/>
        <v>0</v>
      </c>
      <c r="AV93" s="501"/>
      <c r="AW93" s="562"/>
      <c r="AX93" s="542"/>
      <c r="BG93" s="488">
        <f t="shared" si="65"/>
        <v>453</v>
      </c>
    </row>
    <row r="94" spans="1:60" s="80" customFormat="1" ht="59.25" customHeight="1">
      <c r="A94" s="556" t="s">
        <v>44</v>
      </c>
      <c r="B94" s="557" t="s">
        <v>45</v>
      </c>
      <c r="C94" s="526"/>
      <c r="D94" s="526"/>
      <c r="E94" s="526"/>
      <c r="F94" s="526"/>
      <c r="G94" s="526"/>
      <c r="H94" s="526"/>
      <c r="I94" s="526"/>
      <c r="J94" s="527"/>
      <c r="K94" s="525">
        <f>SUM(K95:K102)</f>
        <v>114062</v>
      </c>
      <c r="L94" s="525">
        <f t="shared" ref="L94:AS94" si="80">SUM(L95:L102)</f>
        <v>98762</v>
      </c>
      <c r="M94" s="525">
        <f t="shared" si="80"/>
        <v>0</v>
      </c>
      <c r="N94" s="525">
        <f t="shared" si="80"/>
        <v>0</v>
      </c>
      <c r="O94" s="525">
        <f t="shared" si="80"/>
        <v>0</v>
      </c>
      <c r="P94" s="525">
        <f t="shared" si="80"/>
        <v>0</v>
      </c>
      <c r="Q94" s="525">
        <f t="shared" si="80"/>
        <v>724</v>
      </c>
      <c r="R94" s="525">
        <f t="shared" si="80"/>
        <v>724</v>
      </c>
      <c r="S94" s="525">
        <f t="shared" si="80"/>
        <v>106872.6</v>
      </c>
      <c r="T94" s="525">
        <f t="shared" si="80"/>
        <v>93321</v>
      </c>
      <c r="U94" s="525">
        <f t="shared" si="80"/>
        <v>0</v>
      </c>
      <c r="V94" s="525">
        <f t="shared" si="80"/>
        <v>0</v>
      </c>
      <c r="W94" s="525">
        <f t="shared" si="80"/>
        <v>27694</v>
      </c>
      <c r="X94" s="525">
        <f t="shared" si="80"/>
        <v>724</v>
      </c>
      <c r="Y94" s="525">
        <f t="shared" si="80"/>
        <v>724</v>
      </c>
      <c r="Z94" s="525">
        <f t="shared" si="80"/>
        <v>0</v>
      </c>
      <c r="AA94" s="525">
        <f t="shared" si="80"/>
        <v>0</v>
      </c>
      <c r="AB94" s="525">
        <f t="shared" si="80"/>
        <v>38590</v>
      </c>
      <c r="AC94" s="525">
        <f t="shared" si="80"/>
        <v>27590</v>
      </c>
      <c r="AD94" s="525">
        <f t="shared" si="80"/>
        <v>0</v>
      </c>
      <c r="AE94" s="525">
        <f t="shared" si="80"/>
        <v>0</v>
      </c>
      <c r="AF94" s="525">
        <f t="shared" si="80"/>
        <v>4734.5550000000003</v>
      </c>
      <c r="AG94" s="525">
        <f t="shared" si="80"/>
        <v>9804.5550000000003</v>
      </c>
      <c r="AH94" s="525">
        <f t="shared" si="80"/>
        <v>39314</v>
      </c>
      <c r="AI94" s="525">
        <f t="shared" si="80"/>
        <v>28314</v>
      </c>
      <c r="AJ94" s="525">
        <f t="shared" si="80"/>
        <v>0</v>
      </c>
      <c r="AK94" s="525">
        <f t="shared" si="80"/>
        <v>0</v>
      </c>
      <c r="AL94" s="525">
        <f t="shared" si="80"/>
        <v>28134</v>
      </c>
      <c r="AM94" s="525">
        <f t="shared" si="80"/>
        <v>28134</v>
      </c>
      <c r="AN94" s="525">
        <f t="shared" si="80"/>
        <v>0</v>
      </c>
      <c r="AO94" s="525">
        <f t="shared" si="80"/>
        <v>0</v>
      </c>
      <c r="AP94" s="525">
        <f t="shared" si="80"/>
        <v>27681</v>
      </c>
      <c r="AQ94" s="525">
        <f t="shared" si="80"/>
        <v>27681</v>
      </c>
      <c r="AR94" s="525">
        <f t="shared" si="80"/>
        <v>0</v>
      </c>
      <c r="AS94" s="525">
        <f t="shared" si="80"/>
        <v>0</v>
      </c>
      <c r="AT94" s="503"/>
      <c r="AU94" s="484">
        <f t="shared" si="54"/>
        <v>0</v>
      </c>
      <c r="AV94" s="501"/>
      <c r="AW94" s="562"/>
      <c r="AX94" s="542"/>
      <c r="BG94" s="488">
        <f t="shared" si="65"/>
        <v>453</v>
      </c>
    </row>
    <row r="95" spans="1:60" s="510" customFormat="1" ht="59.25" customHeight="1">
      <c r="A95" s="484">
        <v>1</v>
      </c>
      <c r="B95" s="552" t="s">
        <v>370</v>
      </c>
      <c r="C95" s="494" t="s">
        <v>361</v>
      </c>
      <c r="D95" s="494"/>
      <c r="E95" s="494" t="s">
        <v>985</v>
      </c>
      <c r="F95" s="494"/>
      <c r="G95" s="494"/>
      <c r="H95" s="494"/>
      <c r="I95" s="494"/>
      <c r="J95" s="495" t="s">
        <v>371</v>
      </c>
      <c r="K95" s="496">
        <v>32550</v>
      </c>
      <c r="L95" s="496">
        <v>32550</v>
      </c>
      <c r="M95" s="496"/>
      <c r="N95" s="496"/>
      <c r="O95" s="496"/>
      <c r="P95" s="496"/>
      <c r="Q95" s="496">
        <f t="shared" ref="Q95:R102" si="81">M95+X95</f>
        <v>416</v>
      </c>
      <c r="R95" s="496">
        <f t="shared" si="81"/>
        <v>416</v>
      </c>
      <c r="S95" s="496">
        <v>29295</v>
      </c>
      <c r="T95" s="496">
        <v>29295</v>
      </c>
      <c r="U95" s="496"/>
      <c r="V95" s="496">
        <v>0</v>
      </c>
      <c r="W95" s="496">
        <v>9000</v>
      </c>
      <c r="X95" s="496">
        <v>416</v>
      </c>
      <c r="Y95" s="496">
        <v>416</v>
      </c>
      <c r="Z95" s="496"/>
      <c r="AA95" s="496"/>
      <c r="AB95" s="496">
        <v>9000</v>
      </c>
      <c r="AC95" s="496">
        <v>9000</v>
      </c>
      <c r="AD95" s="496"/>
      <c r="AE95" s="496"/>
      <c r="AF95" s="496"/>
      <c r="AG95" s="496"/>
      <c r="AH95" s="496">
        <f t="shared" si="72"/>
        <v>9416</v>
      </c>
      <c r="AI95" s="496">
        <f t="shared" si="73"/>
        <v>9416</v>
      </c>
      <c r="AJ95" s="496"/>
      <c r="AK95" s="496"/>
      <c r="AL95" s="496">
        <f t="shared" si="74"/>
        <v>0</v>
      </c>
      <c r="AM95" s="496">
        <f t="shared" si="75"/>
        <v>0</v>
      </c>
      <c r="AN95" s="496">
        <f t="shared" si="76"/>
        <v>0</v>
      </c>
      <c r="AO95" s="496">
        <f t="shared" si="77"/>
        <v>0</v>
      </c>
      <c r="AP95" s="496"/>
      <c r="AQ95" s="496"/>
      <c r="AR95" s="496"/>
      <c r="AS95" s="496"/>
      <c r="AT95" s="582" t="s">
        <v>1044</v>
      </c>
      <c r="AU95" s="484">
        <f t="shared" si="54"/>
        <v>0</v>
      </c>
      <c r="AV95" s="484">
        <f t="shared" si="78"/>
        <v>0</v>
      </c>
      <c r="AW95" s="562"/>
      <c r="AX95" s="572"/>
      <c r="BG95" s="488">
        <f t="shared" si="65"/>
        <v>0</v>
      </c>
      <c r="BH95" s="595">
        <v>0.13</v>
      </c>
    </row>
    <row r="96" spans="1:60" s="510" customFormat="1" ht="59.25" customHeight="1">
      <c r="A96" s="484">
        <v>2</v>
      </c>
      <c r="B96" s="596" t="s">
        <v>386</v>
      </c>
      <c r="C96" s="494" t="s">
        <v>361</v>
      </c>
      <c r="D96" s="494"/>
      <c r="E96" s="494" t="s">
        <v>985</v>
      </c>
      <c r="F96" s="494"/>
      <c r="G96" s="494"/>
      <c r="H96" s="503"/>
      <c r="I96" s="494" t="s">
        <v>944</v>
      </c>
      <c r="J96" s="495" t="s">
        <v>387</v>
      </c>
      <c r="K96" s="496">
        <v>13000</v>
      </c>
      <c r="L96" s="496">
        <v>13000</v>
      </c>
      <c r="M96" s="496"/>
      <c r="N96" s="496"/>
      <c r="O96" s="496"/>
      <c r="P96" s="496"/>
      <c r="Q96" s="496">
        <f t="shared" si="81"/>
        <v>0</v>
      </c>
      <c r="R96" s="496">
        <f t="shared" si="81"/>
        <v>0</v>
      </c>
      <c r="S96" s="496">
        <f>T96</f>
        <v>13000</v>
      </c>
      <c r="T96" s="496">
        <v>13000</v>
      </c>
      <c r="U96" s="496"/>
      <c r="V96" s="496">
        <v>0</v>
      </c>
      <c r="W96" s="496">
        <v>3640</v>
      </c>
      <c r="X96" s="496"/>
      <c r="Y96" s="496"/>
      <c r="Z96" s="496"/>
      <c r="AA96" s="496"/>
      <c r="AB96" s="496">
        <v>3640</v>
      </c>
      <c r="AC96" s="496">
        <v>3640</v>
      </c>
      <c r="AD96" s="496"/>
      <c r="AE96" s="496"/>
      <c r="AF96" s="520">
        <v>10.391</v>
      </c>
      <c r="AG96" s="520">
        <v>3010.3910000000001</v>
      </c>
      <c r="AH96" s="496">
        <f>X96+AB96</f>
        <v>3640</v>
      </c>
      <c r="AI96" s="496">
        <f>Y96+AC96</f>
        <v>3640</v>
      </c>
      <c r="AJ96" s="496"/>
      <c r="AK96" s="496"/>
      <c r="AL96" s="496">
        <f>AM96</f>
        <v>9360</v>
      </c>
      <c r="AM96" s="496">
        <f>T96-AC96</f>
        <v>9360</v>
      </c>
      <c r="AN96" s="496">
        <f>AR96</f>
        <v>0</v>
      </c>
      <c r="AO96" s="496">
        <f>AS96</f>
        <v>0</v>
      </c>
      <c r="AP96" s="496">
        <f>AQ96</f>
        <v>9000</v>
      </c>
      <c r="AQ96" s="496">
        <v>9000</v>
      </c>
      <c r="AR96" s="496"/>
      <c r="AS96" s="496"/>
      <c r="AT96" s="597"/>
      <c r="AU96" s="484">
        <f>AP96-AQ96</f>
        <v>0</v>
      </c>
      <c r="AV96" s="484">
        <f>V96-AA96</f>
        <v>0</v>
      </c>
      <c r="AW96" s="598"/>
      <c r="AX96" s="572"/>
      <c r="BG96" s="488">
        <f t="shared" si="65"/>
        <v>360</v>
      </c>
    </row>
    <row r="97" spans="1:60" s="510" customFormat="1" ht="59.25" customHeight="1">
      <c r="A97" s="484">
        <v>3</v>
      </c>
      <c r="B97" s="599" t="s">
        <v>372</v>
      </c>
      <c r="C97" s="494" t="s">
        <v>361</v>
      </c>
      <c r="D97" s="494"/>
      <c r="E97" s="494" t="s">
        <v>985</v>
      </c>
      <c r="F97" s="494"/>
      <c r="G97" s="494"/>
      <c r="H97" s="494" t="s">
        <v>373</v>
      </c>
      <c r="I97" s="494" t="s">
        <v>811</v>
      </c>
      <c r="J97" s="495" t="s">
        <v>374</v>
      </c>
      <c r="K97" s="496">
        <f>L97</f>
        <v>7914</v>
      </c>
      <c r="L97" s="496">
        <v>7914</v>
      </c>
      <c r="M97" s="496"/>
      <c r="N97" s="496"/>
      <c r="O97" s="496"/>
      <c r="P97" s="496"/>
      <c r="Q97" s="496">
        <f t="shared" si="81"/>
        <v>104</v>
      </c>
      <c r="R97" s="496">
        <f t="shared" si="81"/>
        <v>104</v>
      </c>
      <c r="S97" s="496">
        <f>T97</f>
        <v>7928</v>
      </c>
      <c r="T97" s="496">
        <v>7928</v>
      </c>
      <c r="U97" s="496"/>
      <c r="V97" s="496">
        <v>0</v>
      </c>
      <c r="W97" s="496">
        <f>104+2200</f>
        <v>2304</v>
      </c>
      <c r="X97" s="496">
        <v>104</v>
      </c>
      <c r="Y97" s="496">
        <v>104</v>
      </c>
      <c r="Z97" s="496"/>
      <c r="AA97" s="496"/>
      <c r="AB97" s="496">
        <v>2200</v>
      </c>
      <c r="AC97" s="496">
        <v>2200</v>
      </c>
      <c r="AD97" s="496"/>
      <c r="AE97" s="496"/>
      <c r="AF97" s="520">
        <v>308.03300000000002</v>
      </c>
      <c r="AG97" s="520">
        <v>308.03300000000002</v>
      </c>
      <c r="AH97" s="496">
        <f t="shared" si="72"/>
        <v>2304</v>
      </c>
      <c r="AI97" s="496">
        <f t="shared" si="73"/>
        <v>2304</v>
      </c>
      <c r="AJ97" s="496"/>
      <c r="AK97" s="496"/>
      <c r="AL97" s="496">
        <f>AP97</f>
        <v>2500</v>
      </c>
      <c r="AM97" s="496">
        <f t="shared" si="75"/>
        <v>2500</v>
      </c>
      <c r="AN97" s="496">
        <f t="shared" si="76"/>
        <v>0</v>
      </c>
      <c r="AO97" s="496">
        <f t="shared" si="77"/>
        <v>0</v>
      </c>
      <c r="AP97" s="496">
        <f>AQ97</f>
        <v>2500</v>
      </c>
      <c r="AQ97" s="496">
        <v>2500</v>
      </c>
      <c r="AR97" s="496"/>
      <c r="AS97" s="496"/>
      <c r="AT97" s="597"/>
      <c r="AU97" s="484">
        <f t="shared" si="54"/>
        <v>0</v>
      </c>
      <c r="AV97" s="484">
        <f t="shared" si="78"/>
        <v>0</v>
      </c>
      <c r="AW97" s="562"/>
      <c r="AX97" s="572"/>
      <c r="BG97" s="488">
        <f t="shared" si="65"/>
        <v>0</v>
      </c>
    </row>
    <row r="98" spans="1:60" s="510" customFormat="1" ht="59.25" customHeight="1">
      <c r="A98" s="484">
        <v>4</v>
      </c>
      <c r="B98" s="599" t="s">
        <v>375</v>
      </c>
      <c r="C98" s="494" t="s">
        <v>361</v>
      </c>
      <c r="D98" s="494"/>
      <c r="E98" s="494" t="s">
        <v>985</v>
      </c>
      <c r="F98" s="494"/>
      <c r="G98" s="494"/>
      <c r="H98" s="503"/>
      <c r="I98" s="494" t="s">
        <v>944</v>
      </c>
      <c r="J98" s="495" t="s">
        <v>376</v>
      </c>
      <c r="K98" s="496">
        <v>9000</v>
      </c>
      <c r="L98" s="496">
        <v>9000</v>
      </c>
      <c r="M98" s="496"/>
      <c r="N98" s="496"/>
      <c r="O98" s="496"/>
      <c r="P98" s="496"/>
      <c r="Q98" s="496">
        <f t="shared" si="81"/>
        <v>117</v>
      </c>
      <c r="R98" s="496">
        <f t="shared" si="81"/>
        <v>117</v>
      </c>
      <c r="S98" s="496">
        <f>T98</f>
        <v>9000</v>
      </c>
      <c r="T98" s="496">
        <v>9000</v>
      </c>
      <c r="U98" s="496"/>
      <c r="V98" s="496">
        <v>0</v>
      </c>
      <c r="W98" s="496">
        <v>2500</v>
      </c>
      <c r="X98" s="496">
        <v>117</v>
      </c>
      <c r="Y98" s="496">
        <v>117</v>
      </c>
      <c r="Z98" s="496"/>
      <c r="AA98" s="496"/>
      <c r="AB98" s="496">
        <v>2500</v>
      </c>
      <c r="AC98" s="496">
        <v>2500</v>
      </c>
      <c r="AD98" s="496"/>
      <c r="AE98" s="496"/>
      <c r="AF98" s="520">
        <v>458.68700000000001</v>
      </c>
      <c r="AG98" s="520">
        <v>2458.6869999999999</v>
      </c>
      <c r="AH98" s="496">
        <f t="shared" si="72"/>
        <v>2617</v>
      </c>
      <c r="AI98" s="496">
        <f t="shared" si="73"/>
        <v>2617</v>
      </c>
      <c r="AJ98" s="496"/>
      <c r="AK98" s="496"/>
      <c r="AL98" s="496">
        <f>AM98</f>
        <v>4500</v>
      </c>
      <c r="AM98" s="496">
        <f>AP98</f>
        <v>4500</v>
      </c>
      <c r="AN98" s="496">
        <f t="shared" si="76"/>
        <v>0</v>
      </c>
      <c r="AO98" s="496">
        <f t="shared" si="77"/>
        <v>0</v>
      </c>
      <c r="AP98" s="496">
        <f>AQ98</f>
        <v>4500</v>
      </c>
      <c r="AQ98" s="496">
        <v>4500</v>
      </c>
      <c r="AR98" s="496"/>
      <c r="AS98" s="496"/>
      <c r="AT98" s="597"/>
      <c r="AU98" s="484">
        <f t="shared" si="54"/>
        <v>0</v>
      </c>
      <c r="AV98" s="484">
        <f t="shared" si="78"/>
        <v>0</v>
      </c>
      <c r="AW98" s="562"/>
      <c r="AX98" s="572"/>
      <c r="BG98" s="488">
        <f t="shared" si="65"/>
        <v>0</v>
      </c>
    </row>
    <row r="99" spans="1:60" s="510" customFormat="1" ht="59.25" customHeight="1">
      <c r="A99" s="484">
        <v>5</v>
      </c>
      <c r="B99" s="552" t="s">
        <v>377</v>
      </c>
      <c r="C99" s="494" t="s">
        <v>361</v>
      </c>
      <c r="D99" s="494"/>
      <c r="E99" s="494" t="s">
        <v>985</v>
      </c>
      <c r="F99" s="494"/>
      <c r="G99" s="494"/>
      <c r="H99" s="503"/>
      <c r="I99" s="561" t="s">
        <v>627</v>
      </c>
      <c r="J99" s="495" t="s">
        <v>378</v>
      </c>
      <c r="K99" s="496">
        <v>4630</v>
      </c>
      <c r="L99" s="496">
        <v>4630</v>
      </c>
      <c r="M99" s="496"/>
      <c r="N99" s="496"/>
      <c r="O99" s="496"/>
      <c r="P99" s="496"/>
      <c r="Q99" s="496">
        <f t="shared" si="81"/>
        <v>87</v>
      </c>
      <c r="R99" s="496">
        <f t="shared" si="81"/>
        <v>87</v>
      </c>
      <c r="S99" s="496">
        <f>T99</f>
        <v>4630</v>
      </c>
      <c r="T99" s="496">
        <v>4630</v>
      </c>
      <c r="U99" s="496"/>
      <c r="V99" s="496">
        <v>0</v>
      </c>
      <c r="W99" s="496">
        <v>1250</v>
      </c>
      <c r="X99" s="496">
        <v>87</v>
      </c>
      <c r="Y99" s="496">
        <v>87</v>
      </c>
      <c r="Z99" s="496"/>
      <c r="AA99" s="496"/>
      <c r="AB99" s="496">
        <v>1250</v>
      </c>
      <c r="AC99" s="496">
        <v>1250</v>
      </c>
      <c r="AD99" s="496"/>
      <c r="AE99" s="496"/>
      <c r="AF99" s="520">
        <v>154.08000000000001</v>
      </c>
      <c r="AG99" s="520">
        <v>154.08000000000001</v>
      </c>
      <c r="AH99" s="496">
        <f t="shared" si="72"/>
        <v>1337</v>
      </c>
      <c r="AI99" s="496">
        <f t="shared" si="73"/>
        <v>1337</v>
      </c>
      <c r="AJ99" s="496"/>
      <c r="AK99" s="496"/>
      <c r="AL99" s="496">
        <f>AM99</f>
        <v>3293</v>
      </c>
      <c r="AM99" s="496">
        <f>T99-AI99</f>
        <v>3293</v>
      </c>
      <c r="AN99" s="496">
        <f t="shared" si="76"/>
        <v>0</v>
      </c>
      <c r="AO99" s="496">
        <f t="shared" si="77"/>
        <v>0</v>
      </c>
      <c r="AP99" s="496">
        <f t="shared" ref="AP99:AP101" si="82">AQ99</f>
        <v>3200</v>
      </c>
      <c r="AQ99" s="496">
        <v>3200</v>
      </c>
      <c r="AR99" s="496"/>
      <c r="AS99" s="496"/>
      <c r="AT99" s="582" t="s">
        <v>946</v>
      </c>
      <c r="AU99" s="484">
        <f t="shared" si="54"/>
        <v>0</v>
      </c>
      <c r="AV99" s="484">
        <f t="shared" si="78"/>
        <v>0</v>
      </c>
      <c r="AW99" s="562"/>
      <c r="AX99" s="572"/>
      <c r="BG99" s="488">
        <f t="shared" si="65"/>
        <v>93</v>
      </c>
    </row>
    <row r="100" spans="1:60" s="82" customFormat="1" ht="59.25" customHeight="1">
      <c r="A100" s="484">
        <v>6</v>
      </c>
      <c r="B100" s="552" t="s">
        <v>379</v>
      </c>
      <c r="C100" s="494" t="s">
        <v>361</v>
      </c>
      <c r="D100" s="494"/>
      <c r="E100" s="494" t="s">
        <v>985</v>
      </c>
      <c r="F100" s="494"/>
      <c r="G100" s="494"/>
      <c r="H100" s="494"/>
      <c r="I100" s="494" t="s">
        <v>811</v>
      </c>
      <c r="J100" s="495" t="s">
        <v>801</v>
      </c>
      <c r="K100" s="496">
        <v>25000</v>
      </c>
      <c r="L100" s="496">
        <v>22000</v>
      </c>
      <c r="M100" s="496"/>
      <c r="N100" s="496"/>
      <c r="O100" s="496"/>
      <c r="P100" s="496"/>
      <c r="Q100" s="496">
        <f t="shared" si="81"/>
        <v>0</v>
      </c>
      <c r="R100" s="496">
        <f t="shared" si="81"/>
        <v>0</v>
      </c>
      <c r="S100" s="496">
        <v>22500</v>
      </c>
      <c r="T100" s="496">
        <v>19800</v>
      </c>
      <c r="U100" s="496"/>
      <c r="V100" s="496">
        <v>0</v>
      </c>
      <c r="W100" s="496">
        <v>5000</v>
      </c>
      <c r="X100" s="496"/>
      <c r="Y100" s="496"/>
      <c r="Z100" s="496"/>
      <c r="AA100" s="496"/>
      <c r="AB100" s="496">
        <v>7000</v>
      </c>
      <c r="AC100" s="496">
        <v>5000</v>
      </c>
      <c r="AD100" s="496"/>
      <c r="AE100" s="496"/>
      <c r="AF100" s="496">
        <v>1391</v>
      </c>
      <c r="AG100" s="496">
        <v>1461</v>
      </c>
      <c r="AH100" s="496">
        <f t="shared" si="72"/>
        <v>7000</v>
      </c>
      <c r="AI100" s="496">
        <f t="shared" si="73"/>
        <v>5000</v>
      </c>
      <c r="AJ100" s="496"/>
      <c r="AK100" s="496"/>
      <c r="AL100" s="496">
        <f t="shared" si="74"/>
        <v>4297</v>
      </c>
      <c r="AM100" s="496">
        <f t="shared" si="75"/>
        <v>4297</v>
      </c>
      <c r="AN100" s="496">
        <f t="shared" si="76"/>
        <v>0</v>
      </c>
      <c r="AO100" s="496">
        <f t="shared" si="77"/>
        <v>0</v>
      </c>
      <c r="AP100" s="496">
        <f>AQ100</f>
        <v>4297</v>
      </c>
      <c r="AQ100" s="496">
        <v>4297</v>
      </c>
      <c r="AR100" s="496"/>
      <c r="AS100" s="496"/>
      <c r="AT100" s="600" t="s">
        <v>800</v>
      </c>
      <c r="AU100" s="484">
        <f t="shared" si="54"/>
        <v>0</v>
      </c>
      <c r="AV100" s="484">
        <f t="shared" si="78"/>
        <v>0</v>
      </c>
      <c r="AW100" s="600"/>
      <c r="AX100" s="548"/>
      <c r="BG100" s="488">
        <f t="shared" si="65"/>
        <v>0</v>
      </c>
      <c r="BH100" s="510"/>
    </row>
    <row r="101" spans="1:60" s="82" customFormat="1" ht="59.25" customHeight="1">
      <c r="A101" s="484">
        <v>7</v>
      </c>
      <c r="B101" s="552" t="s">
        <v>380</v>
      </c>
      <c r="C101" s="494" t="s">
        <v>361</v>
      </c>
      <c r="D101" s="494"/>
      <c r="E101" s="494" t="s">
        <v>985</v>
      </c>
      <c r="F101" s="494"/>
      <c r="G101" s="494"/>
      <c r="H101" s="494"/>
      <c r="I101" s="494" t="s">
        <v>381</v>
      </c>
      <c r="J101" s="495" t="s">
        <v>382</v>
      </c>
      <c r="K101" s="496">
        <v>7484</v>
      </c>
      <c r="L101" s="496">
        <v>4184</v>
      </c>
      <c r="M101" s="496"/>
      <c r="N101" s="496"/>
      <c r="O101" s="496"/>
      <c r="P101" s="496"/>
      <c r="Q101" s="496">
        <f t="shared" si="81"/>
        <v>0</v>
      </c>
      <c r="R101" s="496">
        <f t="shared" si="81"/>
        <v>0</v>
      </c>
      <c r="S101" s="496">
        <v>7484</v>
      </c>
      <c r="T101" s="496">
        <v>4184</v>
      </c>
      <c r="U101" s="496"/>
      <c r="V101" s="496">
        <v>0</v>
      </c>
      <c r="W101" s="496">
        <v>2000</v>
      </c>
      <c r="X101" s="496"/>
      <c r="Y101" s="496"/>
      <c r="Z101" s="496"/>
      <c r="AA101" s="496"/>
      <c r="AB101" s="520">
        <v>2000</v>
      </c>
      <c r="AC101" s="520">
        <v>2000</v>
      </c>
      <c r="AD101" s="496"/>
      <c r="AE101" s="496"/>
      <c r="AF101" s="547">
        <v>412.36399999999998</v>
      </c>
      <c r="AG101" s="547">
        <v>412.36399999999998</v>
      </c>
      <c r="AH101" s="496">
        <f t="shared" si="72"/>
        <v>2000</v>
      </c>
      <c r="AI101" s="496">
        <f t="shared" si="73"/>
        <v>2000</v>
      </c>
      <c r="AJ101" s="496"/>
      <c r="AK101" s="496"/>
      <c r="AL101" s="496">
        <f>AM101</f>
        <v>2184</v>
      </c>
      <c r="AM101" s="496">
        <v>2184</v>
      </c>
      <c r="AN101" s="496">
        <f t="shared" si="76"/>
        <v>0</v>
      </c>
      <c r="AO101" s="496">
        <f t="shared" si="77"/>
        <v>0</v>
      </c>
      <c r="AP101" s="496">
        <f t="shared" si="82"/>
        <v>2184</v>
      </c>
      <c r="AQ101" s="496">
        <v>2184</v>
      </c>
      <c r="AR101" s="496"/>
      <c r="AS101" s="496"/>
      <c r="AT101" s="601"/>
      <c r="AU101" s="484">
        <f t="shared" si="54"/>
        <v>0</v>
      </c>
      <c r="AV101" s="484">
        <f t="shared" si="78"/>
        <v>0</v>
      </c>
      <c r="AW101" s="600"/>
      <c r="AX101" s="548"/>
      <c r="BG101" s="488">
        <f t="shared" si="65"/>
        <v>0</v>
      </c>
    </row>
    <row r="102" spans="1:60" s="82" customFormat="1" ht="59.25" customHeight="1">
      <c r="A102" s="484">
        <v>8</v>
      </c>
      <c r="B102" s="583" t="s">
        <v>383</v>
      </c>
      <c r="C102" s="494"/>
      <c r="D102" s="494"/>
      <c r="E102" s="494" t="s">
        <v>987</v>
      </c>
      <c r="F102" s="494"/>
      <c r="G102" s="494"/>
      <c r="H102" s="494"/>
      <c r="I102" s="494" t="s">
        <v>627</v>
      </c>
      <c r="J102" s="495" t="s">
        <v>384</v>
      </c>
      <c r="K102" s="496">
        <v>14484</v>
      </c>
      <c r="L102" s="496">
        <v>5484</v>
      </c>
      <c r="M102" s="496"/>
      <c r="N102" s="496"/>
      <c r="O102" s="496"/>
      <c r="P102" s="496"/>
      <c r="Q102" s="496">
        <f t="shared" si="81"/>
        <v>0</v>
      </c>
      <c r="R102" s="496">
        <f t="shared" si="81"/>
        <v>0</v>
      </c>
      <c r="S102" s="496">
        <v>13035.6</v>
      </c>
      <c r="T102" s="496">
        <v>5484</v>
      </c>
      <c r="U102" s="496"/>
      <c r="V102" s="496">
        <v>0</v>
      </c>
      <c r="W102" s="496">
        <v>2000</v>
      </c>
      <c r="X102" s="496"/>
      <c r="Y102" s="496"/>
      <c r="Z102" s="496"/>
      <c r="AA102" s="496"/>
      <c r="AB102" s="520">
        <v>11000</v>
      </c>
      <c r="AC102" s="520">
        <v>2000</v>
      </c>
      <c r="AD102" s="496"/>
      <c r="AE102" s="496"/>
      <c r="AF102" s="496">
        <v>2000</v>
      </c>
      <c r="AG102" s="496">
        <v>2000</v>
      </c>
      <c r="AH102" s="496">
        <f t="shared" si="72"/>
        <v>11000</v>
      </c>
      <c r="AI102" s="496">
        <f t="shared" si="73"/>
        <v>2000</v>
      </c>
      <c r="AJ102" s="496"/>
      <c r="AK102" s="496"/>
      <c r="AL102" s="496">
        <f>AM102</f>
        <v>2000</v>
      </c>
      <c r="AM102" s="496">
        <f>AQ102</f>
        <v>2000</v>
      </c>
      <c r="AN102" s="496">
        <f t="shared" si="76"/>
        <v>0</v>
      </c>
      <c r="AO102" s="496">
        <f t="shared" si="77"/>
        <v>0</v>
      </c>
      <c r="AP102" s="496">
        <f>AQ102</f>
        <v>2000</v>
      </c>
      <c r="AQ102" s="496">
        <v>2000</v>
      </c>
      <c r="AR102" s="496"/>
      <c r="AS102" s="496"/>
      <c r="AT102" s="536" t="s">
        <v>385</v>
      </c>
      <c r="AU102" s="484">
        <f t="shared" si="54"/>
        <v>0</v>
      </c>
      <c r="AV102" s="484">
        <f t="shared" si="78"/>
        <v>0</v>
      </c>
      <c r="AW102" s="536"/>
      <c r="AX102" s="548"/>
      <c r="BG102" s="488">
        <f t="shared" si="65"/>
        <v>0</v>
      </c>
    </row>
    <row r="103" spans="1:60" s="80" customFormat="1" ht="59.25" customHeight="1">
      <c r="A103" s="523" t="s">
        <v>279</v>
      </c>
      <c r="B103" s="539" t="s">
        <v>289</v>
      </c>
      <c r="C103" s="526"/>
      <c r="D103" s="526"/>
      <c r="E103" s="526"/>
      <c r="F103" s="526"/>
      <c r="G103" s="526"/>
      <c r="H103" s="526"/>
      <c r="I103" s="526"/>
      <c r="J103" s="527"/>
      <c r="K103" s="602">
        <f>K104</f>
        <v>57900</v>
      </c>
      <c r="L103" s="602">
        <f t="shared" ref="L103:AS103" si="83">L104</f>
        <v>57900</v>
      </c>
      <c r="M103" s="602">
        <f t="shared" si="83"/>
        <v>0</v>
      </c>
      <c r="N103" s="602">
        <f t="shared" si="83"/>
        <v>0</v>
      </c>
      <c r="O103" s="602">
        <f t="shared" si="83"/>
        <v>0</v>
      </c>
      <c r="P103" s="602">
        <f t="shared" si="83"/>
        <v>0</v>
      </c>
      <c r="Q103" s="602">
        <f t="shared" si="83"/>
        <v>280</v>
      </c>
      <c r="R103" s="602">
        <f t="shared" si="83"/>
        <v>280</v>
      </c>
      <c r="S103" s="602">
        <f t="shared" si="83"/>
        <v>55400</v>
      </c>
      <c r="T103" s="602">
        <f t="shared" si="83"/>
        <v>49268</v>
      </c>
      <c r="U103" s="602">
        <f t="shared" si="83"/>
        <v>0</v>
      </c>
      <c r="V103" s="602">
        <f t="shared" si="83"/>
        <v>0</v>
      </c>
      <c r="W103" s="602">
        <f t="shared" si="83"/>
        <v>0</v>
      </c>
      <c r="X103" s="602">
        <f t="shared" si="83"/>
        <v>280</v>
      </c>
      <c r="Y103" s="602">
        <f t="shared" si="83"/>
        <v>280</v>
      </c>
      <c r="Z103" s="602">
        <f t="shared" si="83"/>
        <v>0</v>
      </c>
      <c r="AA103" s="602">
        <f t="shared" si="83"/>
        <v>0</v>
      </c>
      <c r="AB103" s="602">
        <f t="shared" si="83"/>
        <v>120</v>
      </c>
      <c r="AC103" s="602">
        <f t="shared" si="83"/>
        <v>120</v>
      </c>
      <c r="AD103" s="602">
        <f t="shared" si="83"/>
        <v>0</v>
      </c>
      <c r="AE103" s="602">
        <f t="shared" si="83"/>
        <v>0</v>
      </c>
      <c r="AF103" s="602">
        <f t="shared" si="83"/>
        <v>0</v>
      </c>
      <c r="AG103" s="602">
        <f t="shared" si="83"/>
        <v>0</v>
      </c>
      <c r="AH103" s="602">
        <f t="shared" si="83"/>
        <v>6532</v>
      </c>
      <c r="AI103" s="602">
        <f t="shared" si="83"/>
        <v>400</v>
      </c>
      <c r="AJ103" s="602"/>
      <c r="AK103" s="602"/>
      <c r="AL103" s="602">
        <f t="shared" si="83"/>
        <v>17000</v>
      </c>
      <c r="AM103" s="602">
        <f t="shared" si="83"/>
        <v>17000</v>
      </c>
      <c r="AN103" s="602">
        <f t="shared" si="83"/>
        <v>0</v>
      </c>
      <c r="AO103" s="602">
        <f t="shared" si="83"/>
        <v>0</v>
      </c>
      <c r="AP103" s="602">
        <f t="shared" si="83"/>
        <v>16500</v>
      </c>
      <c r="AQ103" s="602">
        <f t="shared" si="83"/>
        <v>16500</v>
      </c>
      <c r="AR103" s="602">
        <f t="shared" si="83"/>
        <v>0</v>
      </c>
      <c r="AS103" s="602">
        <f t="shared" si="83"/>
        <v>0</v>
      </c>
      <c r="AT103" s="603"/>
      <c r="AU103" s="484">
        <f t="shared" ref="AU103:AU120" si="84">AP103-AQ103</f>
        <v>0</v>
      </c>
      <c r="AV103" s="501">
        <f t="shared" si="78"/>
        <v>0</v>
      </c>
      <c r="AW103" s="603"/>
      <c r="AX103" s="542"/>
      <c r="BG103" s="488">
        <f t="shared" si="65"/>
        <v>500</v>
      </c>
    </row>
    <row r="104" spans="1:60" s="80" customFormat="1" ht="59.25" customHeight="1">
      <c r="A104" s="556" t="s">
        <v>35</v>
      </c>
      <c r="B104" s="557" t="s">
        <v>45</v>
      </c>
      <c r="C104" s="526"/>
      <c r="D104" s="526"/>
      <c r="E104" s="526"/>
      <c r="F104" s="526"/>
      <c r="G104" s="526"/>
      <c r="H104" s="526"/>
      <c r="I104" s="526"/>
      <c r="J104" s="527"/>
      <c r="K104" s="602">
        <f>SUM(K105:K109)</f>
        <v>57900</v>
      </c>
      <c r="L104" s="602">
        <f t="shared" ref="L104:AS104" si="85">SUM(L105:L109)</f>
        <v>57900</v>
      </c>
      <c r="M104" s="602">
        <f t="shared" si="85"/>
        <v>0</v>
      </c>
      <c r="N104" s="602">
        <f t="shared" si="85"/>
        <v>0</v>
      </c>
      <c r="O104" s="602">
        <f t="shared" si="85"/>
        <v>0</v>
      </c>
      <c r="P104" s="602">
        <f t="shared" si="85"/>
        <v>0</v>
      </c>
      <c r="Q104" s="602">
        <f t="shared" si="85"/>
        <v>280</v>
      </c>
      <c r="R104" s="602">
        <f t="shared" si="85"/>
        <v>280</v>
      </c>
      <c r="S104" s="602">
        <f t="shared" si="85"/>
        <v>55400</v>
      </c>
      <c r="T104" s="602">
        <f t="shared" si="85"/>
        <v>49268</v>
      </c>
      <c r="U104" s="602">
        <f t="shared" si="85"/>
        <v>0</v>
      </c>
      <c r="V104" s="602">
        <f t="shared" si="85"/>
        <v>0</v>
      </c>
      <c r="W104" s="602">
        <f t="shared" si="85"/>
        <v>0</v>
      </c>
      <c r="X104" s="602">
        <f t="shared" si="85"/>
        <v>280</v>
      </c>
      <c r="Y104" s="602">
        <f t="shared" si="85"/>
        <v>280</v>
      </c>
      <c r="Z104" s="602">
        <f t="shared" si="85"/>
        <v>0</v>
      </c>
      <c r="AA104" s="602">
        <f t="shared" si="85"/>
        <v>0</v>
      </c>
      <c r="AB104" s="602">
        <f t="shared" si="85"/>
        <v>120</v>
      </c>
      <c r="AC104" s="602">
        <f t="shared" si="85"/>
        <v>120</v>
      </c>
      <c r="AD104" s="602">
        <f t="shared" si="85"/>
        <v>0</v>
      </c>
      <c r="AE104" s="602">
        <f t="shared" si="85"/>
        <v>0</v>
      </c>
      <c r="AF104" s="602">
        <f t="shared" si="85"/>
        <v>0</v>
      </c>
      <c r="AG104" s="602">
        <f t="shared" si="85"/>
        <v>0</v>
      </c>
      <c r="AH104" s="602">
        <f t="shared" si="85"/>
        <v>6532</v>
      </c>
      <c r="AI104" s="602">
        <f t="shared" si="85"/>
        <v>400</v>
      </c>
      <c r="AJ104" s="602">
        <f t="shared" si="85"/>
        <v>0</v>
      </c>
      <c r="AK104" s="602">
        <f t="shared" si="85"/>
        <v>0</v>
      </c>
      <c r="AL104" s="602">
        <f t="shared" si="85"/>
        <v>17000</v>
      </c>
      <c r="AM104" s="602">
        <f t="shared" si="85"/>
        <v>17000</v>
      </c>
      <c r="AN104" s="602">
        <f t="shared" si="85"/>
        <v>0</v>
      </c>
      <c r="AO104" s="602">
        <f t="shared" si="85"/>
        <v>0</v>
      </c>
      <c r="AP104" s="602">
        <f t="shared" si="85"/>
        <v>16500</v>
      </c>
      <c r="AQ104" s="602">
        <f t="shared" si="85"/>
        <v>16500</v>
      </c>
      <c r="AR104" s="602">
        <f t="shared" si="85"/>
        <v>0</v>
      </c>
      <c r="AS104" s="602">
        <f t="shared" si="85"/>
        <v>0</v>
      </c>
      <c r="AT104" s="603"/>
      <c r="AU104" s="484"/>
      <c r="AV104" s="501"/>
      <c r="AW104" s="603"/>
      <c r="AX104" s="542"/>
      <c r="BG104" s="488">
        <f t="shared" si="65"/>
        <v>500</v>
      </c>
    </row>
    <row r="105" spans="1:60" s="510" customFormat="1" ht="59.25" customHeight="1">
      <c r="A105" s="484">
        <v>1</v>
      </c>
      <c r="B105" s="565" t="s">
        <v>389</v>
      </c>
      <c r="C105" s="494" t="s">
        <v>361</v>
      </c>
      <c r="D105" s="494"/>
      <c r="E105" s="494" t="s">
        <v>988</v>
      </c>
      <c r="F105" s="494"/>
      <c r="G105" s="494"/>
      <c r="H105" s="503"/>
      <c r="I105" s="494" t="s">
        <v>811</v>
      </c>
      <c r="J105" s="495" t="s">
        <v>390</v>
      </c>
      <c r="K105" s="496">
        <v>13400</v>
      </c>
      <c r="L105" s="496">
        <v>13400</v>
      </c>
      <c r="M105" s="496"/>
      <c r="N105" s="496"/>
      <c r="O105" s="496"/>
      <c r="P105" s="496"/>
      <c r="Q105" s="496">
        <f t="shared" ref="Q105:R109" si="86">M105+X105</f>
        <v>176</v>
      </c>
      <c r="R105" s="496">
        <f t="shared" si="86"/>
        <v>176</v>
      </c>
      <c r="S105" s="496">
        <v>13400</v>
      </c>
      <c r="T105" s="496">
        <f>S105-6132</f>
        <v>7268</v>
      </c>
      <c r="U105" s="496"/>
      <c r="V105" s="496"/>
      <c r="W105" s="496"/>
      <c r="X105" s="496">
        <v>176</v>
      </c>
      <c r="Y105" s="496">
        <v>176</v>
      </c>
      <c r="Z105" s="496"/>
      <c r="AA105" s="496"/>
      <c r="AB105" s="496"/>
      <c r="AC105" s="496"/>
      <c r="AD105" s="496"/>
      <c r="AE105" s="496"/>
      <c r="AF105" s="496"/>
      <c r="AG105" s="496"/>
      <c r="AH105" s="496">
        <f>X105+AB105+6132</f>
        <v>6308</v>
      </c>
      <c r="AI105" s="496">
        <f t="shared" si="73"/>
        <v>176</v>
      </c>
      <c r="AJ105" s="496"/>
      <c r="AK105" s="496"/>
      <c r="AL105" s="496">
        <f t="shared" si="74"/>
        <v>2500</v>
      </c>
      <c r="AM105" s="496">
        <f t="shared" si="75"/>
        <v>2500</v>
      </c>
      <c r="AN105" s="496">
        <f t="shared" si="76"/>
        <v>0</v>
      </c>
      <c r="AO105" s="496">
        <f t="shared" si="77"/>
        <v>0</v>
      </c>
      <c r="AP105" s="496">
        <f>AQ105</f>
        <v>2500</v>
      </c>
      <c r="AQ105" s="496">
        <v>2500</v>
      </c>
      <c r="AR105" s="496"/>
      <c r="AS105" s="496"/>
      <c r="AT105" s="604" t="s">
        <v>947</v>
      </c>
      <c r="AU105" s="484">
        <f t="shared" si="84"/>
        <v>0</v>
      </c>
      <c r="AV105" s="484">
        <f t="shared" si="78"/>
        <v>0</v>
      </c>
      <c r="AW105" s="562"/>
      <c r="AX105" s="572"/>
      <c r="BG105" s="488">
        <f t="shared" si="65"/>
        <v>0</v>
      </c>
    </row>
    <row r="106" spans="1:60" s="82" customFormat="1" ht="59.25" customHeight="1">
      <c r="A106" s="484">
        <v>2</v>
      </c>
      <c r="B106" s="552" t="s">
        <v>394</v>
      </c>
      <c r="C106" s="494" t="s">
        <v>361</v>
      </c>
      <c r="D106" s="494"/>
      <c r="E106" s="494" t="s">
        <v>985</v>
      </c>
      <c r="F106" s="494"/>
      <c r="G106" s="494"/>
      <c r="H106" s="494"/>
      <c r="I106" s="494" t="s">
        <v>821</v>
      </c>
      <c r="J106" s="536" t="s">
        <v>820</v>
      </c>
      <c r="K106" s="546">
        <v>5400</v>
      </c>
      <c r="L106" s="546">
        <v>5400</v>
      </c>
      <c r="M106" s="496"/>
      <c r="N106" s="496"/>
      <c r="O106" s="496"/>
      <c r="P106" s="496"/>
      <c r="Q106" s="496">
        <f t="shared" si="86"/>
        <v>0</v>
      </c>
      <c r="R106" s="496">
        <f t="shared" si="86"/>
        <v>0</v>
      </c>
      <c r="S106" s="496">
        <f>T106</f>
        <v>5400</v>
      </c>
      <c r="T106" s="496">
        <v>5400</v>
      </c>
      <c r="U106" s="496"/>
      <c r="V106" s="496"/>
      <c r="W106" s="496"/>
      <c r="X106" s="496"/>
      <c r="Y106" s="496"/>
      <c r="Z106" s="496"/>
      <c r="AA106" s="496"/>
      <c r="AB106" s="496"/>
      <c r="AC106" s="496"/>
      <c r="AD106" s="496"/>
      <c r="AE106" s="496"/>
      <c r="AF106" s="496"/>
      <c r="AG106" s="496"/>
      <c r="AH106" s="496">
        <f t="shared" si="72"/>
        <v>0</v>
      </c>
      <c r="AI106" s="496">
        <f t="shared" si="73"/>
        <v>0</v>
      </c>
      <c r="AJ106" s="496"/>
      <c r="AK106" s="496"/>
      <c r="AL106" s="496">
        <f t="shared" si="74"/>
        <v>3000</v>
      </c>
      <c r="AM106" s="496">
        <f t="shared" si="75"/>
        <v>3000</v>
      </c>
      <c r="AN106" s="496">
        <f t="shared" si="76"/>
        <v>0</v>
      </c>
      <c r="AO106" s="496">
        <f t="shared" si="77"/>
        <v>0</v>
      </c>
      <c r="AP106" s="496">
        <f>AQ106</f>
        <v>3000</v>
      </c>
      <c r="AQ106" s="496">
        <v>3000</v>
      </c>
      <c r="AR106" s="496"/>
      <c r="AS106" s="496"/>
      <c r="AT106" s="494" t="s">
        <v>1068</v>
      </c>
      <c r="AU106" s="484">
        <f>AP106-AQ106</f>
        <v>0</v>
      </c>
      <c r="AV106" s="484">
        <f>V106-AA106</f>
        <v>0</v>
      </c>
      <c r="AW106" s="600"/>
      <c r="AX106" s="548"/>
      <c r="BG106" s="488">
        <f t="shared" ref="BG106" si="87">AL106-AQ106</f>
        <v>0</v>
      </c>
      <c r="BH106" s="82" t="s">
        <v>795</v>
      </c>
    </row>
    <row r="107" spans="1:60" s="510" customFormat="1" ht="59.25" customHeight="1">
      <c r="A107" s="484">
        <v>3</v>
      </c>
      <c r="B107" s="552" t="s">
        <v>816</v>
      </c>
      <c r="C107" s="494" t="s">
        <v>361</v>
      </c>
      <c r="D107" s="494"/>
      <c r="E107" s="494" t="s">
        <v>985</v>
      </c>
      <c r="F107" s="494"/>
      <c r="G107" s="494"/>
      <c r="H107" s="503"/>
      <c r="I107" s="494" t="s">
        <v>811</v>
      </c>
      <c r="J107" s="536" t="s">
        <v>817</v>
      </c>
      <c r="K107" s="546">
        <f>L107</f>
        <v>7300</v>
      </c>
      <c r="L107" s="546">
        <v>7300</v>
      </c>
      <c r="M107" s="496"/>
      <c r="N107" s="496"/>
      <c r="O107" s="496"/>
      <c r="P107" s="496"/>
      <c r="Q107" s="496">
        <f t="shared" si="86"/>
        <v>104</v>
      </c>
      <c r="R107" s="496">
        <f t="shared" si="86"/>
        <v>104</v>
      </c>
      <c r="S107" s="496">
        <f>T107</f>
        <v>7300</v>
      </c>
      <c r="T107" s="496">
        <v>7300</v>
      </c>
      <c r="U107" s="496"/>
      <c r="V107" s="496"/>
      <c r="W107" s="496"/>
      <c r="X107" s="496">
        <v>104</v>
      </c>
      <c r="Y107" s="496">
        <v>104</v>
      </c>
      <c r="Z107" s="496"/>
      <c r="AA107" s="496"/>
      <c r="AB107" s="496"/>
      <c r="AC107" s="496"/>
      <c r="AD107" s="496"/>
      <c r="AE107" s="496"/>
      <c r="AF107" s="496"/>
      <c r="AG107" s="496"/>
      <c r="AH107" s="496">
        <f t="shared" si="72"/>
        <v>104</v>
      </c>
      <c r="AI107" s="496">
        <f t="shared" si="73"/>
        <v>104</v>
      </c>
      <c r="AJ107" s="496"/>
      <c r="AK107" s="496"/>
      <c r="AL107" s="496">
        <f t="shared" si="74"/>
        <v>2000</v>
      </c>
      <c r="AM107" s="496">
        <f t="shared" si="75"/>
        <v>2000</v>
      </c>
      <c r="AN107" s="496">
        <f t="shared" si="76"/>
        <v>0</v>
      </c>
      <c r="AO107" s="496">
        <f t="shared" si="77"/>
        <v>0</v>
      </c>
      <c r="AP107" s="496">
        <f>AQ107</f>
        <v>2000</v>
      </c>
      <c r="AQ107" s="496">
        <v>2000</v>
      </c>
      <c r="AR107" s="496"/>
      <c r="AS107" s="496"/>
      <c r="AT107" s="494" t="s">
        <v>1068</v>
      </c>
      <c r="AU107" s="484">
        <f t="shared" si="84"/>
        <v>0</v>
      </c>
      <c r="AV107" s="484">
        <f t="shared" si="78"/>
        <v>0</v>
      </c>
      <c r="AW107" s="562"/>
      <c r="AX107" s="548">
        <f>T107</f>
        <v>7300</v>
      </c>
      <c r="AY107" s="82">
        <f>T107-AX107</f>
        <v>0</v>
      </c>
      <c r="BD107" s="510">
        <v>1</v>
      </c>
      <c r="BE107" s="510">
        <v>1</v>
      </c>
      <c r="BF107" s="510">
        <f>AQ107</f>
        <v>2000</v>
      </c>
      <c r="BG107" s="488">
        <f t="shared" si="65"/>
        <v>0</v>
      </c>
    </row>
    <row r="108" spans="1:60" s="82" customFormat="1" ht="59.25" customHeight="1">
      <c r="A108" s="484">
        <v>4</v>
      </c>
      <c r="B108" s="599" t="s">
        <v>393</v>
      </c>
      <c r="C108" s="494" t="s">
        <v>361</v>
      </c>
      <c r="D108" s="494"/>
      <c r="E108" s="494" t="s">
        <v>985</v>
      </c>
      <c r="F108" s="494"/>
      <c r="G108" s="494"/>
      <c r="H108" s="494"/>
      <c r="I108" s="494" t="s">
        <v>381</v>
      </c>
      <c r="J108" s="536" t="s">
        <v>937</v>
      </c>
      <c r="K108" s="496">
        <f>L108</f>
        <v>25000</v>
      </c>
      <c r="L108" s="496">
        <v>25000</v>
      </c>
      <c r="M108" s="496"/>
      <c r="N108" s="496"/>
      <c r="O108" s="496"/>
      <c r="P108" s="496"/>
      <c r="Q108" s="496">
        <f t="shared" si="86"/>
        <v>0</v>
      </c>
      <c r="R108" s="496">
        <f t="shared" si="86"/>
        <v>0</v>
      </c>
      <c r="S108" s="496">
        <f>T108</f>
        <v>22500</v>
      </c>
      <c r="T108" s="496">
        <v>22500</v>
      </c>
      <c r="U108" s="496"/>
      <c r="V108" s="496"/>
      <c r="W108" s="496"/>
      <c r="X108" s="496"/>
      <c r="Y108" s="496"/>
      <c r="Z108" s="496"/>
      <c r="AA108" s="496"/>
      <c r="AB108" s="496"/>
      <c r="AC108" s="496"/>
      <c r="AD108" s="496"/>
      <c r="AE108" s="496"/>
      <c r="AF108" s="496"/>
      <c r="AG108" s="496"/>
      <c r="AH108" s="482">
        <f>X108+AB108</f>
        <v>0</v>
      </c>
      <c r="AI108" s="482">
        <f>Y108+AC108</f>
        <v>0</v>
      </c>
      <c r="AJ108" s="482"/>
      <c r="AK108" s="482"/>
      <c r="AL108" s="496">
        <f>AP108</f>
        <v>6000</v>
      </c>
      <c r="AM108" s="496">
        <f>AQ108</f>
        <v>6000</v>
      </c>
      <c r="AN108" s="482">
        <f>AR108</f>
        <v>0</v>
      </c>
      <c r="AO108" s="482">
        <f>AS108</f>
        <v>0</v>
      </c>
      <c r="AP108" s="496">
        <f>AQ108</f>
        <v>6000</v>
      </c>
      <c r="AQ108" s="496">
        <v>6000</v>
      </c>
      <c r="AR108" s="496"/>
      <c r="AS108" s="496"/>
      <c r="AT108" s="494" t="s">
        <v>1068</v>
      </c>
      <c r="AU108" s="484">
        <f>AP108-AQ108</f>
        <v>0</v>
      </c>
      <c r="AV108" s="484">
        <f>V108-AA108</f>
        <v>0</v>
      </c>
      <c r="AW108" s="521"/>
      <c r="AX108" s="548"/>
      <c r="BG108" s="488">
        <f>AL108-AQ108</f>
        <v>0</v>
      </c>
    </row>
    <row r="109" spans="1:60" s="82" customFormat="1" ht="59.25" customHeight="1">
      <c r="A109" s="484">
        <v>6</v>
      </c>
      <c r="B109" s="552" t="s">
        <v>391</v>
      </c>
      <c r="C109" s="494" t="s">
        <v>361</v>
      </c>
      <c r="D109" s="494"/>
      <c r="E109" s="494" t="s">
        <v>989</v>
      </c>
      <c r="F109" s="494"/>
      <c r="G109" s="494"/>
      <c r="H109" s="494"/>
      <c r="I109" s="494" t="s">
        <v>811</v>
      </c>
      <c r="J109" s="536" t="s">
        <v>799</v>
      </c>
      <c r="K109" s="546">
        <v>6800</v>
      </c>
      <c r="L109" s="546">
        <v>6800</v>
      </c>
      <c r="M109" s="496"/>
      <c r="N109" s="496"/>
      <c r="O109" s="496"/>
      <c r="P109" s="496"/>
      <c r="Q109" s="496">
        <f t="shared" si="86"/>
        <v>0</v>
      </c>
      <c r="R109" s="496">
        <f t="shared" si="86"/>
        <v>0</v>
      </c>
      <c r="S109" s="496">
        <v>6800</v>
      </c>
      <c r="T109" s="496">
        <v>6800</v>
      </c>
      <c r="U109" s="496" t="s">
        <v>315</v>
      </c>
      <c r="V109" s="496">
        <v>0</v>
      </c>
      <c r="W109" s="496"/>
      <c r="X109" s="496"/>
      <c r="Y109" s="496"/>
      <c r="Z109" s="496"/>
      <c r="AA109" s="496"/>
      <c r="AB109" s="496">
        <v>120</v>
      </c>
      <c r="AC109" s="496">
        <v>120</v>
      </c>
      <c r="AD109" s="496"/>
      <c r="AE109" s="496"/>
      <c r="AF109" s="496"/>
      <c r="AG109" s="496"/>
      <c r="AH109" s="496">
        <f t="shared" si="72"/>
        <v>120</v>
      </c>
      <c r="AI109" s="496">
        <f t="shared" si="73"/>
        <v>120</v>
      </c>
      <c r="AJ109" s="496"/>
      <c r="AK109" s="496"/>
      <c r="AL109" s="496">
        <f>AM109</f>
        <v>3500</v>
      </c>
      <c r="AM109" s="496">
        <v>3500</v>
      </c>
      <c r="AN109" s="496">
        <f t="shared" si="76"/>
        <v>0</v>
      </c>
      <c r="AO109" s="496"/>
      <c r="AP109" s="496">
        <v>3000</v>
      </c>
      <c r="AQ109" s="496">
        <v>3000</v>
      </c>
      <c r="AR109" s="496"/>
      <c r="AS109" s="496"/>
      <c r="AT109" s="600" t="s">
        <v>1068</v>
      </c>
      <c r="AU109" s="484">
        <f t="shared" si="84"/>
        <v>0</v>
      </c>
      <c r="AV109" s="484">
        <f t="shared" si="78"/>
        <v>0</v>
      </c>
      <c r="AW109" s="600"/>
      <c r="AX109" s="548"/>
      <c r="BG109" s="488">
        <f t="shared" si="65"/>
        <v>500</v>
      </c>
    </row>
    <row r="110" spans="1:60" s="81" customFormat="1" ht="59.25" customHeight="1">
      <c r="A110" s="489" t="s">
        <v>280</v>
      </c>
      <c r="B110" s="534" t="s">
        <v>169</v>
      </c>
      <c r="C110" s="480"/>
      <c r="D110" s="480"/>
      <c r="E110" s="480"/>
      <c r="F110" s="480"/>
      <c r="G110" s="480"/>
      <c r="H110" s="480"/>
      <c r="I110" s="480"/>
      <c r="J110" s="481"/>
      <c r="K110" s="482">
        <f>K111</f>
        <v>0</v>
      </c>
      <c r="L110" s="482">
        <f t="shared" ref="L110:AS110" si="88">L111</f>
        <v>0</v>
      </c>
      <c r="M110" s="482">
        <f t="shared" si="88"/>
        <v>0</v>
      </c>
      <c r="N110" s="482">
        <f t="shared" si="88"/>
        <v>0</v>
      </c>
      <c r="O110" s="482">
        <f t="shared" si="88"/>
        <v>0</v>
      </c>
      <c r="P110" s="482">
        <f t="shared" si="88"/>
        <v>0</v>
      </c>
      <c r="Q110" s="482">
        <f t="shared" si="88"/>
        <v>0</v>
      </c>
      <c r="R110" s="482">
        <f t="shared" si="88"/>
        <v>0</v>
      </c>
      <c r="S110" s="482">
        <f t="shared" si="88"/>
        <v>24000</v>
      </c>
      <c r="T110" s="482">
        <f t="shared" si="88"/>
        <v>24000</v>
      </c>
      <c r="U110" s="482">
        <f t="shared" si="88"/>
        <v>0</v>
      </c>
      <c r="V110" s="482">
        <f t="shared" si="88"/>
        <v>0</v>
      </c>
      <c r="W110" s="482">
        <f t="shared" si="88"/>
        <v>0</v>
      </c>
      <c r="X110" s="482">
        <f t="shared" si="88"/>
        <v>0</v>
      </c>
      <c r="Y110" s="482">
        <f t="shared" si="88"/>
        <v>0</v>
      </c>
      <c r="Z110" s="482">
        <f t="shared" si="88"/>
        <v>0</v>
      </c>
      <c r="AA110" s="482">
        <f t="shared" si="88"/>
        <v>0</v>
      </c>
      <c r="AB110" s="482">
        <f t="shared" si="88"/>
        <v>0</v>
      </c>
      <c r="AC110" s="482">
        <f t="shared" si="88"/>
        <v>0</v>
      </c>
      <c r="AD110" s="482">
        <f t="shared" si="88"/>
        <v>0</v>
      </c>
      <c r="AE110" s="482">
        <f t="shared" si="88"/>
        <v>0</v>
      </c>
      <c r="AF110" s="482">
        <f t="shared" si="88"/>
        <v>0</v>
      </c>
      <c r="AG110" s="482">
        <f t="shared" si="88"/>
        <v>0</v>
      </c>
      <c r="AH110" s="482">
        <f t="shared" si="88"/>
        <v>0</v>
      </c>
      <c r="AI110" s="482">
        <f t="shared" si="88"/>
        <v>0</v>
      </c>
      <c r="AJ110" s="482"/>
      <c r="AK110" s="482"/>
      <c r="AL110" s="482">
        <f t="shared" si="88"/>
        <v>420</v>
      </c>
      <c r="AM110" s="482">
        <f t="shared" si="88"/>
        <v>420</v>
      </c>
      <c r="AN110" s="482">
        <f t="shared" si="88"/>
        <v>0</v>
      </c>
      <c r="AO110" s="482">
        <f t="shared" si="88"/>
        <v>0</v>
      </c>
      <c r="AP110" s="482">
        <f t="shared" si="88"/>
        <v>420</v>
      </c>
      <c r="AQ110" s="482">
        <f>AQ111</f>
        <v>420</v>
      </c>
      <c r="AR110" s="482">
        <f t="shared" si="88"/>
        <v>0</v>
      </c>
      <c r="AS110" s="482">
        <f t="shared" si="88"/>
        <v>0</v>
      </c>
      <c r="AT110" s="605"/>
      <c r="AU110" s="484">
        <f t="shared" si="84"/>
        <v>0</v>
      </c>
      <c r="AV110" s="489"/>
      <c r="AW110" s="605"/>
      <c r="AX110" s="537"/>
      <c r="BG110" s="488">
        <f t="shared" si="65"/>
        <v>0</v>
      </c>
    </row>
    <row r="111" spans="1:60" s="81" customFormat="1" ht="59.25" customHeight="1">
      <c r="A111" s="556" t="s">
        <v>35</v>
      </c>
      <c r="B111" s="557" t="s">
        <v>45</v>
      </c>
      <c r="C111" s="480"/>
      <c r="D111" s="480"/>
      <c r="E111" s="480"/>
      <c r="F111" s="480"/>
      <c r="G111" s="480"/>
      <c r="H111" s="480"/>
      <c r="I111" s="480"/>
      <c r="J111" s="481"/>
      <c r="K111" s="482">
        <f t="shared" ref="K111:R111" si="89">SUM(K112:K112)</f>
        <v>0</v>
      </c>
      <c r="L111" s="482">
        <f t="shared" si="89"/>
        <v>0</v>
      </c>
      <c r="M111" s="482">
        <f t="shared" si="89"/>
        <v>0</v>
      </c>
      <c r="N111" s="482">
        <f t="shared" si="89"/>
        <v>0</v>
      </c>
      <c r="O111" s="482">
        <f t="shared" si="89"/>
        <v>0</v>
      </c>
      <c r="P111" s="482">
        <f t="shared" si="89"/>
        <v>0</v>
      </c>
      <c r="Q111" s="482">
        <f t="shared" si="89"/>
        <v>0</v>
      </c>
      <c r="R111" s="482">
        <f t="shared" si="89"/>
        <v>0</v>
      </c>
      <c r="S111" s="482">
        <f t="shared" ref="S111:AS111" si="90">SUM(S112:S114)</f>
        <v>24000</v>
      </c>
      <c r="T111" s="482">
        <f t="shared" si="90"/>
        <v>24000</v>
      </c>
      <c r="U111" s="482">
        <f t="shared" si="90"/>
        <v>0</v>
      </c>
      <c r="V111" s="482">
        <f t="shared" si="90"/>
        <v>0</v>
      </c>
      <c r="W111" s="482">
        <f t="shared" si="90"/>
        <v>0</v>
      </c>
      <c r="X111" s="482">
        <f t="shared" si="90"/>
        <v>0</v>
      </c>
      <c r="Y111" s="482">
        <f t="shared" si="90"/>
        <v>0</v>
      </c>
      <c r="Z111" s="482">
        <f t="shared" si="90"/>
        <v>0</v>
      </c>
      <c r="AA111" s="482">
        <f t="shared" si="90"/>
        <v>0</v>
      </c>
      <c r="AB111" s="482">
        <f t="shared" si="90"/>
        <v>0</v>
      </c>
      <c r="AC111" s="482">
        <f t="shared" si="90"/>
        <v>0</v>
      </c>
      <c r="AD111" s="482">
        <f t="shared" si="90"/>
        <v>0</v>
      </c>
      <c r="AE111" s="482">
        <f t="shared" si="90"/>
        <v>0</v>
      </c>
      <c r="AF111" s="482">
        <f t="shared" si="90"/>
        <v>0</v>
      </c>
      <c r="AG111" s="482">
        <f t="shared" si="90"/>
        <v>0</v>
      </c>
      <c r="AH111" s="482">
        <f t="shared" si="90"/>
        <v>0</v>
      </c>
      <c r="AI111" s="482">
        <f t="shared" si="90"/>
        <v>0</v>
      </c>
      <c r="AJ111" s="482">
        <f t="shared" si="90"/>
        <v>0</v>
      </c>
      <c r="AK111" s="482">
        <f t="shared" si="90"/>
        <v>0</v>
      </c>
      <c r="AL111" s="482">
        <f t="shared" si="90"/>
        <v>420</v>
      </c>
      <c r="AM111" s="482">
        <f t="shared" si="90"/>
        <v>420</v>
      </c>
      <c r="AN111" s="482">
        <f t="shared" si="90"/>
        <v>0</v>
      </c>
      <c r="AO111" s="482">
        <f t="shared" si="90"/>
        <v>0</v>
      </c>
      <c r="AP111" s="482">
        <f t="shared" si="90"/>
        <v>420</v>
      </c>
      <c r="AQ111" s="482">
        <f t="shared" si="90"/>
        <v>420</v>
      </c>
      <c r="AR111" s="482">
        <f t="shared" si="90"/>
        <v>0</v>
      </c>
      <c r="AS111" s="482">
        <f t="shared" si="90"/>
        <v>0</v>
      </c>
      <c r="AT111" s="605"/>
      <c r="AU111" s="484">
        <f t="shared" si="84"/>
        <v>0</v>
      </c>
      <c r="AV111" s="489"/>
      <c r="AW111" s="605"/>
      <c r="AX111" s="537"/>
      <c r="BG111" s="488">
        <f t="shared" si="65"/>
        <v>0</v>
      </c>
    </row>
    <row r="112" spans="1:60" s="82" customFormat="1" ht="59.25" customHeight="1">
      <c r="A112" s="484">
        <v>1</v>
      </c>
      <c r="B112" s="552" t="s">
        <v>392</v>
      </c>
      <c r="C112" s="494" t="s">
        <v>361</v>
      </c>
      <c r="D112" s="494"/>
      <c r="E112" s="494" t="s">
        <v>985</v>
      </c>
      <c r="F112" s="494"/>
      <c r="G112" s="494"/>
      <c r="H112" s="494"/>
      <c r="I112" s="494"/>
      <c r="J112" s="495"/>
      <c r="K112" s="496"/>
      <c r="L112" s="496"/>
      <c r="M112" s="496"/>
      <c r="N112" s="496"/>
      <c r="O112" s="496"/>
      <c r="P112" s="496"/>
      <c r="Q112" s="496">
        <f t="shared" ref="Q112:R113" si="91">M112+X112</f>
        <v>0</v>
      </c>
      <c r="R112" s="496">
        <f t="shared" si="91"/>
        <v>0</v>
      </c>
      <c r="S112" s="496">
        <v>7000</v>
      </c>
      <c r="T112" s="496">
        <v>7000</v>
      </c>
      <c r="U112" s="496"/>
      <c r="V112" s="496"/>
      <c r="W112" s="496"/>
      <c r="X112" s="496"/>
      <c r="Y112" s="496"/>
      <c r="Z112" s="496"/>
      <c r="AA112" s="496"/>
      <c r="AB112" s="496"/>
      <c r="AC112" s="496"/>
      <c r="AD112" s="496"/>
      <c r="AE112" s="496"/>
      <c r="AF112" s="496"/>
      <c r="AG112" s="496"/>
      <c r="AH112" s="496">
        <f t="shared" ref="AH112:AI113" si="92">X112+AB112</f>
        <v>0</v>
      </c>
      <c r="AI112" s="496">
        <f t="shared" si="92"/>
        <v>0</v>
      </c>
      <c r="AJ112" s="496"/>
      <c r="AK112" s="496"/>
      <c r="AL112" s="496">
        <f t="shared" ref="AL112:AO114" si="93">AP112</f>
        <v>120</v>
      </c>
      <c r="AM112" s="496">
        <f t="shared" si="93"/>
        <v>120</v>
      </c>
      <c r="AN112" s="496">
        <f t="shared" si="93"/>
        <v>0</v>
      </c>
      <c r="AO112" s="496">
        <f t="shared" si="93"/>
        <v>0</v>
      </c>
      <c r="AP112" s="496">
        <f>AQ112</f>
        <v>120</v>
      </c>
      <c r="AQ112" s="496">
        <v>120</v>
      </c>
      <c r="AR112" s="496"/>
      <c r="AS112" s="496"/>
      <c r="AT112" s="494"/>
      <c r="AU112" s="484">
        <f>AP112-AQ112</f>
        <v>0</v>
      </c>
      <c r="AV112" s="484">
        <f>V112-AA112</f>
        <v>0</v>
      </c>
      <c r="AW112" s="521"/>
      <c r="AX112" s="548"/>
      <c r="BG112" s="488">
        <f t="shared" si="65"/>
        <v>0</v>
      </c>
    </row>
    <row r="113" spans="1:59" s="82" customFormat="1" ht="59.25" customHeight="1">
      <c r="A113" s="484">
        <v>2</v>
      </c>
      <c r="B113" s="606" t="s">
        <v>396</v>
      </c>
      <c r="C113" s="494" t="s">
        <v>361</v>
      </c>
      <c r="D113" s="494"/>
      <c r="E113" s="494" t="s">
        <v>985</v>
      </c>
      <c r="F113" s="494"/>
      <c r="G113" s="494"/>
      <c r="H113" s="494"/>
      <c r="I113" s="494"/>
      <c r="J113" s="495"/>
      <c r="K113" s="496"/>
      <c r="L113" s="496"/>
      <c r="M113" s="496"/>
      <c r="N113" s="496"/>
      <c r="O113" s="496"/>
      <c r="P113" s="496"/>
      <c r="Q113" s="496">
        <f t="shared" si="91"/>
        <v>0</v>
      </c>
      <c r="R113" s="496">
        <f t="shared" si="91"/>
        <v>0</v>
      </c>
      <c r="S113" s="520">
        <f>T113</f>
        <v>7000</v>
      </c>
      <c r="T113" s="520">
        <v>7000</v>
      </c>
      <c r="U113" s="496"/>
      <c r="V113" s="496"/>
      <c r="W113" s="496"/>
      <c r="X113" s="496"/>
      <c r="Y113" s="496"/>
      <c r="Z113" s="496"/>
      <c r="AA113" s="496"/>
      <c r="AB113" s="496"/>
      <c r="AC113" s="496"/>
      <c r="AD113" s="496"/>
      <c r="AE113" s="496"/>
      <c r="AF113" s="496"/>
      <c r="AG113" s="496"/>
      <c r="AH113" s="482">
        <f t="shared" si="92"/>
        <v>0</v>
      </c>
      <c r="AI113" s="482">
        <f t="shared" si="92"/>
        <v>0</v>
      </c>
      <c r="AJ113" s="482"/>
      <c r="AK113" s="482"/>
      <c r="AL113" s="496">
        <f t="shared" si="93"/>
        <v>100</v>
      </c>
      <c r="AM113" s="496">
        <f t="shared" si="93"/>
        <v>100</v>
      </c>
      <c r="AN113" s="482">
        <f t="shared" si="93"/>
        <v>0</v>
      </c>
      <c r="AO113" s="482">
        <f t="shared" si="93"/>
        <v>0</v>
      </c>
      <c r="AP113" s="496">
        <f>AQ113</f>
        <v>100</v>
      </c>
      <c r="AQ113" s="496">
        <v>100</v>
      </c>
      <c r="AR113" s="496"/>
      <c r="AS113" s="496"/>
      <c r="AT113" s="600"/>
      <c r="AU113" s="484">
        <f t="shared" ref="AU113:AU114" si="94">AP113-AQ113</f>
        <v>0</v>
      </c>
      <c r="AV113" s="484">
        <f t="shared" ref="AV113" si="95">V113-AA113</f>
        <v>0</v>
      </c>
      <c r="AW113" s="607"/>
      <c r="AX113" s="548"/>
      <c r="BG113" s="488">
        <f t="shared" ref="BG113:BG114" si="96">AL113-AQ113</f>
        <v>0</v>
      </c>
    </row>
    <row r="114" spans="1:59" s="82" customFormat="1" ht="59.25" customHeight="1">
      <c r="A114" s="484">
        <v>3</v>
      </c>
      <c r="B114" s="608" t="s">
        <v>977</v>
      </c>
      <c r="C114" s="494"/>
      <c r="D114" s="494"/>
      <c r="E114" s="494" t="s">
        <v>987</v>
      </c>
      <c r="F114" s="494"/>
      <c r="G114" s="494"/>
      <c r="H114" s="494"/>
      <c r="I114" s="494"/>
      <c r="J114" s="495"/>
      <c r="K114" s="496"/>
      <c r="L114" s="496"/>
      <c r="M114" s="496"/>
      <c r="N114" s="496"/>
      <c r="O114" s="496"/>
      <c r="P114" s="496"/>
      <c r="Q114" s="496"/>
      <c r="R114" s="496"/>
      <c r="S114" s="520">
        <v>10000</v>
      </c>
      <c r="T114" s="520">
        <v>10000</v>
      </c>
      <c r="U114" s="496"/>
      <c r="V114" s="496"/>
      <c r="W114" s="496"/>
      <c r="X114" s="496"/>
      <c r="Y114" s="496"/>
      <c r="Z114" s="496"/>
      <c r="AA114" s="496"/>
      <c r="AB114" s="496"/>
      <c r="AC114" s="496"/>
      <c r="AD114" s="496"/>
      <c r="AE114" s="496"/>
      <c r="AF114" s="496"/>
      <c r="AG114" s="496"/>
      <c r="AH114" s="482"/>
      <c r="AI114" s="482"/>
      <c r="AJ114" s="482"/>
      <c r="AK114" s="482"/>
      <c r="AL114" s="482">
        <f t="shared" si="93"/>
        <v>200</v>
      </c>
      <c r="AM114" s="482">
        <f t="shared" si="93"/>
        <v>200</v>
      </c>
      <c r="AN114" s="482"/>
      <c r="AO114" s="482"/>
      <c r="AP114" s="496">
        <f>AQ114</f>
        <v>200</v>
      </c>
      <c r="AQ114" s="496">
        <v>200</v>
      </c>
      <c r="AR114" s="496"/>
      <c r="AS114" s="496"/>
      <c r="AT114" s="600"/>
      <c r="AU114" s="484">
        <f t="shared" si="94"/>
        <v>0</v>
      </c>
      <c r="AV114" s="484"/>
      <c r="AW114" s="607"/>
      <c r="AX114" s="548"/>
      <c r="BG114" s="488">
        <f t="shared" si="96"/>
        <v>0</v>
      </c>
    </row>
    <row r="115" spans="1:59" s="81" customFormat="1" ht="59.25" customHeight="1">
      <c r="A115" s="478"/>
      <c r="B115" s="479" t="s">
        <v>331</v>
      </c>
      <c r="C115" s="480"/>
      <c r="D115" s="480"/>
      <c r="E115" s="480"/>
      <c r="F115" s="480"/>
      <c r="G115" s="480"/>
      <c r="H115" s="480"/>
      <c r="I115" s="480"/>
      <c r="J115" s="481"/>
      <c r="K115" s="482"/>
      <c r="L115" s="482"/>
      <c r="M115" s="482"/>
      <c r="N115" s="482"/>
      <c r="O115" s="482"/>
      <c r="P115" s="482"/>
      <c r="Q115" s="496"/>
      <c r="R115" s="496"/>
      <c r="S115" s="482"/>
      <c r="T115" s="482"/>
      <c r="U115" s="482"/>
      <c r="V115" s="482"/>
      <c r="W115" s="482"/>
      <c r="X115" s="482"/>
      <c r="Y115" s="482"/>
      <c r="Z115" s="482"/>
      <c r="AA115" s="482"/>
      <c r="AB115" s="482"/>
      <c r="AC115" s="482">
        <v>27974</v>
      </c>
      <c r="AD115" s="482"/>
      <c r="AE115" s="482"/>
      <c r="AF115" s="482"/>
      <c r="AG115" s="482"/>
      <c r="AH115" s="482"/>
      <c r="AI115" s="482"/>
      <c r="AJ115" s="482"/>
      <c r="AK115" s="482"/>
      <c r="AL115" s="482"/>
      <c r="AM115" s="482"/>
      <c r="AN115" s="482"/>
      <c r="AO115" s="482"/>
      <c r="AP115" s="482"/>
      <c r="AQ115" s="482">
        <v>29328</v>
      </c>
      <c r="AR115" s="482"/>
      <c r="AS115" s="482"/>
      <c r="AT115" s="609">
        <f>AQ115-AQ116</f>
        <v>0</v>
      </c>
      <c r="AU115" s="484">
        <f t="shared" si="84"/>
        <v>-29328</v>
      </c>
      <c r="AV115" s="484">
        <f t="shared" si="78"/>
        <v>0</v>
      </c>
      <c r="AW115" s="576"/>
      <c r="AX115" s="537"/>
      <c r="BG115" s="488">
        <f t="shared" ref="BG115:BG137" si="97">AL115-AQ115</f>
        <v>-29328</v>
      </c>
    </row>
    <row r="116" spans="1:59" s="81" customFormat="1" ht="59.25" customHeight="1">
      <c r="A116" s="533" t="s">
        <v>180</v>
      </c>
      <c r="B116" s="534" t="s">
        <v>397</v>
      </c>
      <c r="C116" s="480"/>
      <c r="D116" s="480"/>
      <c r="E116" s="480"/>
      <c r="F116" s="480"/>
      <c r="G116" s="480"/>
      <c r="H116" s="540"/>
      <c r="I116" s="480"/>
      <c r="J116" s="481"/>
      <c r="K116" s="482">
        <f t="shared" ref="K116:AI116" si="98">K117+K123+K131</f>
        <v>151580</v>
      </c>
      <c r="L116" s="482">
        <f t="shared" si="98"/>
        <v>97521</v>
      </c>
      <c r="M116" s="482">
        <f t="shared" si="98"/>
        <v>43698</v>
      </c>
      <c r="N116" s="482">
        <f t="shared" si="98"/>
        <v>0</v>
      </c>
      <c r="O116" s="482">
        <f t="shared" si="98"/>
        <v>34470</v>
      </c>
      <c r="P116" s="482">
        <f t="shared" si="98"/>
        <v>0</v>
      </c>
      <c r="Q116" s="482">
        <f t="shared" si="98"/>
        <v>50507</v>
      </c>
      <c r="R116" s="482">
        <f t="shared" si="98"/>
        <v>5872</v>
      </c>
      <c r="S116" s="482">
        <f t="shared" si="98"/>
        <v>117951</v>
      </c>
      <c r="T116" s="482">
        <f t="shared" si="98"/>
        <v>114496</v>
      </c>
      <c r="U116" s="482">
        <f t="shared" si="98"/>
        <v>0</v>
      </c>
      <c r="V116" s="482">
        <f t="shared" si="98"/>
        <v>0</v>
      </c>
      <c r="W116" s="482">
        <f t="shared" si="98"/>
        <v>18205</v>
      </c>
      <c r="X116" s="482">
        <f t="shared" si="98"/>
        <v>6809</v>
      </c>
      <c r="Y116" s="482">
        <f t="shared" si="98"/>
        <v>5872</v>
      </c>
      <c r="Z116" s="482">
        <f t="shared" si="98"/>
        <v>0</v>
      </c>
      <c r="AA116" s="482">
        <f t="shared" si="98"/>
        <v>0</v>
      </c>
      <c r="AB116" s="482">
        <f t="shared" si="98"/>
        <v>12711</v>
      </c>
      <c r="AC116" s="482">
        <f t="shared" si="98"/>
        <v>12711</v>
      </c>
      <c r="AD116" s="482">
        <f t="shared" si="98"/>
        <v>0</v>
      </c>
      <c r="AE116" s="482">
        <f t="shared" si="98"/>
        <v>0</v>
      </c>
      <c r="AF116" s="482">
        <f t="shared" si="98"/>
        <v>1998.59</v>
      </c>
      <c r="AG116" s="482">
        <f t="shared" si="98"/>
        <v>5048.59</v>
      </c>
      <c r="AH116" s="482">
        <f t="shared" si="98"/>
        <v>19520</v>
      </c>
      <c r="AI116" s="482">
        <f t="shared" si="98"/>
        <v>18583</v>
      </c>
      <c r="AJ116" s="482"/>
      <c r="AK116" s="482"/>
      <c r="AL116" s="482">
        <f t="shared" ref="AL116:AS116" si="99">AL117+AL123+AL131</f>
        <v>28848.5</v>
      </c>
      <c r="AM116" s="482">
        <f t="shared" si="99"/>
        <v>28848.5</v>
      </c>
      <c r="AN116" s="482">
        <f t="shared" si="99"/>
        <v>0</v>
      </c>
      <c r="AO116" s="482">
        <f t="shared" si="99"/>
        <v>0</v>
      </c>
      <c r="AP116" s="482">
        <f t="shared" si="99"/>
        <v>29328</v>
      </c>
      <c r="AQ116" s="482">
        <f t="shared" si="99"/>
        <v>29328</v>
      </c>
      <c r="AR116" s="482">
        <f t="shared" si="99"/>
        <v>0</v>
      </c>
      <c r="AS116" s="482">
        <f t="shared" si="99"/>
        <v>0</v>
      </c>
      <c r="AT116" s="551">
        <f>SUM(AC136:AC137)</f>
        <v>0</v>
      </c>
      <c r="AU116" s="484">
        <f t="shared" si="84"/>
        <v>0</v>
      </c>
      <c r="AV116" s="484">
        <f t="shared" si="78"/>
        <v>0</v>
      </c>
      <c r="AW116" s="551"/>
      <c r="AX116" s="537"/>
      <c r="BG116" s="488">
        <f t="shared" si="97"/>
        <v>-479.5</v>
      </c>
    </row>
    <row r="117" spans="1:59" s="81" customFormat="1" ht="59.25" customHeight="1">
      <c r="A117" s="478" t="s">
        <v>33</v>
      </c>
      <c r="B117" s="539" t="s">
        <v>287</v>
      </c>
      <c r="C117" s="610"/>
      <c r="D117" s="610"/>
      <c r="E117" s="610"/>
      <c r="F117" s="610"/>
      <c r="G117" s="610"/>
      <c r="H117" s="480"/>
      <c r="I117" s="480"/>
      <c r="J117" s="481"/>
      <c r="K117" s="519">
        <f>K118</f>
        <v>78680</v>
      </c>
      <c r="L117" s="519">
        <f t="shared" ref="L117:AS117" si="100">L118</f>
        <v>29280</v>
      </c>
      <c r="M117" s="519">
        <f t="shared" si="100"/>
        <v>43698</v>
      </c>
      <c r="N117" s="519">
        <f t="shared" si="100"/>
        <v>0</v>
      </c>
      <c r="O117" s="519">
        <f t="shared" si="100"/>
        <v>34470</v>
      </c>
      <c r="P117" s="519">
        <f t="shared" si="100"/>
        <v>0</v>
      </c>
      <c r="Q117" s="519">
        <f t="shared" si="100"/>
        <v>50051.5</v>
      </c>
      <c r="R117" s="519">
        <f t="shared" si="100"/>
        <v>5416.5</v>
      </c>
      <c r="S117" s="519">
        <f t="shared" si="100"/>
        <v>32735</v>
      </c>
      <c r="T117" s="519">
        <f t="shared" si="100"/>
        <v>29280</v>
      </c>
      <c r="U117" s="519">
        <f t="shared" si="100"/>
        <v>0</v>
      </c>
      <c r="V117" s="519">
        <f t="shared" si="100"/>
        <v>0</v>
      </c>
      <c r="W117" s="519">
        <f t="shared" si="100"/>
        <v>17749.5</v>
      </c>
      <c r="X117" s="519">
        <f t="shared" si="100"/>
        <v>6353.5</v>
      </c>
      <c r="Y117" s="519">
        <f t="shared" si="100"/>
        <v>5416.5</v>
      </c>
      <c r="Z117" s="519">
        <f t="shared" si="100"/>
        <v>0</v>
      </c>
      <c r="AA117" s="519">
        <f t="shared" si="100"/>
        <v>0</v>
      </c>
      <c r="AB117" s="519">
        <f t="shared" si="100"/>
        <v>12333</v>
      </c>
      <c r="AC117" s="519">
        <f t="shared" si="100"/>
        <v>12333</v>
      </c>
      <c r="AD117" s="519">
        <f t="shared" si="100"/>
        <v>0</v>
      </c>
      <c r="AE117" s="519">
        <f t="shared" si="100"/>
        <v>0</v>
      </c>
      <c r="AF117" s="519">
        <f t="shared" si="100"/>
        <v>1998.59</v>
      </c>
      <c r="AG117" s="519">
        <f t="shared" si="100"/>
        <v>5048.59</v>
      </c>
      <c r="AH117" s="519">
        <f t="shared" si="100"/>
        <v>18686.5</v>
      </c>
      <c r="AI117" s="519">
        <f t="shared" si="100"/>
        <v>17749.5</v>
      </c>
      <c r="AJ117" s="519"/>
      <c r="AK117" s="519"/>
      <c r="AL117" s="519">
        <f t="shared" si="100"/>
        <v>10120.5</v>
      </c>
      <c r="AM117" s="519">
        <f t="shared" si="100"/>
        <v>10120.5</v>
      </c>
      <c r="AN117" s="519">
        <f t="shared" si="100"/>
        <v>0</v>
      </c>
      <c r="AO117" s="519">
        <f t="shared" si="100"/>
        <v>0</v>
      </c>
      <c r="AP117" s="519">
        <f t="shared" si="100"/>
        <v>8400</v>
      </c>
      <c r="AQ117" s="519">
        <f t="shared" si="100"/>
        <v>8400</v>
      </c>
      <c r="AR117" s="519">
        <f t="shared" si="100"/>
        <v>0</v>
      </c>
      <c r="AS117" s="519">
        <f t="shared" si="100"/>
        <v>0</v>
      </c>
      <c r="AT117" s="551"/>
      <c r="AU117" s="484">
        <f t="shared" si="84"/>
        <v>0</v>
      </c>
      <c r="AV117" s="489"/>
      <c r="AW117" s="551"/>
      <c r="AX117" s="537"/>
      <c r="BG117" s="488">
        <f t="shared" si="97"/>
        <v>1720.5</v>
      </c>
    </row>
    <row r="118" spans="1:59" s="81" customFormat="1" ht="59.25" customHeight="1">
      <c r="A118" s="556" t="s">
        <v>35</v>
      </c>
      <c r="B118" s="557" t="s">
        <v>45</v>
      </c>
      <c r="C118" s="610"/>
      <c r="D118" s="610"/>
      <c r="E118" s="610"/>
      <c r="F118" s="610"/>
      <c r="G118" s="610"/>
      <c r="H118" s="480"/>
      <c r="I118" s="480"/>
      <c r="J118" s="481"/>
      <c r="K118" s="519">
        <f t="shared" ref="K118:AS118" si="101">K119+K120+K121+K122</f>
        <v>78680</v>
      </c>
      <c r="L118" s="519">
        <f t="shared" si="101"/>
        <v>29280</v>
      </c>
      <c r="M118" s="519">
        <f t="shared" si="101"/>
        <v>43698</v>
      </c>
      <c r="N118" s="519">
        <f t="shared" si="101"/>
        <v>0</v>
      </c>
      <c r="O118" s="519">
        <f t="shared" si="101"/>
        <v>34470</v>
      </c>
      <c r="P118" s="519">
        <f t="shared" si="101"/>
        <v>0</v>
      </c>
      <c r="Q118" s="519">
        <f t="shared" si="101"/>
        <v>50051.5</v>
      </c>
      <c r="R118" s="519">
        <f t="shared" si="101"/>
        <v>5416.5</v>
      </c>
      <c r="S118" s="519">
        <f t="shared" si="101"/>
        <v>32735</v>
      </c>
      <c r="T118" s="519">
        <f t="shared" si="101"/>
        <v>29280</v>
      </c>
      <c r="U118" s="519">
        <f t="shared" si="101"/>
        <v>0</v>
      </c>
      <c r="V118" s="519">
        <f t="shared" si="101"/>
        <v>0</v>
      </c>
      <c r="W118" s="519">
        <f t="shared" si="101"/>
        <v>17749.5</v>
      </c>
      <c r="X118" s="519">
        <f t="shared" si="101"/>
        <v>6353.5</v>
      </c>
      <c r="Y118" s="519">
        <f t="shared" si="101"/>
        <v>5416.5</v>
      </c>
      <c r="Z118" s="519">
        <f t="shared" si="101"/>
        <v>0</v>
      </c>
      <c r="AA118" s="519">
        <f t="shared" si="101"/>
        <v>0</v>
      </c>
      <c r="AB118" s="519">
        <f t="shared" si="101"/>
        <v>12333</v>
      </c>
      <c r="AC118" s="519">
        <f t="shared" si="101"/>
        <v>12333</v>
      </c>
      <c r="AD118" s="519">
        <f t="shared" si="101"/>
        <v>0</v>
      </c>
      <c r="AE118" s="519">
        <f t="shared" si="101"/>
        <v>0</v>
      </c>
      <c r="AF118" s="519">
        <f t="shared" si="101"/>
        <v>1998.59</v>
      </c>
      <c r="AG118" s="519">
        <f t="shared" si="101"/>
        <v>5048.59</v>
      </c>
      <c r="AH118" s="519">
        <f t="shared" si="101"/>
        <v>18686.5</v>
      </c>
      <c r="AI118" s="519">
        <f t="shared" si="101"/>
        <v>17749.5</v>
      </c>
      <c r="AJ118" s="519">
        <f t="shared" si="101"/>
        <v>0</v>
      </c>
      <c r="AK118" s="519">
        <f t="shared" si="101"/>
        <v>0</v>
      </c>
      <c r="AL118" s="519">
        <f t="shared" si="101"/>
        <v>10120.5</v>
      </c>
      <c r="AM118" s="519">
        <f t="shared" si="101"/>
        <v>10120.5</v>
      </c>
      <c r="AN118" s="519">
        <f t="shared" si="101"/>
        <v>0</v>
      </c>
      <c r="AO118" s="519">
        <f t="shared" si="101"/>
        <v>0</v>
      </c>
      <c r="AP118" s="519">
        <f t="shared" si="101"/>
        <v>8400</v>
      </c>
      <c r="AQ118" s="519">
        <f t="shared" si="101"/>
        <v>8400</v>
      </c>
      <c r="AR118" s="519">
        <f t="shared" si="101"/>
        <v>0</v>
      </c>
      <c r="AS118" s="519">
        <f t="shared" si="101"/>
        <v>0</v>
      </c>
      <c r="AT118" s="551"/>
      <c r="AU118" s="484">
        <f t="shared" si="84"/>
        <v>0</v>
      </c>
      <c r="AV118" s="489"/>
      <c r="AW118" s="551"/>
      <c r="AX118" s="537"/>
      <c r="BG118" s="488">
        <f t="shared" si="97"/>
        <v>1720.5</v>
      </c>
    </row>
    <row r="119" spans="1:59" s="82" customFormat="1" ht="96.75" customHeight="1">
      <c r="A119" s="559" t="s">
        <v>37</v>
      </c>
      <c r="B119" s="611" t="s">
        <v>399</v>
      </c>
      <c r="C119" s="566" t="s">
        <v>400</v>
      </c>
      <c r="D119" s="566"/>
      <c r="E119" s="566" t="s">
        <v>991</v>
      </c>
      <c r="F119" s="566"/>
      <c r="G119" s="566"/>
      <c r="H119" s="566" t="s">
        <v>401</v>
      </c>
      <c r="I119" s="566" t="s">
        <v>402</v>
      </c>
      <c r="J119" s="563" t="s">
        <v>403</v>
      </c>
      <c r="K119" s="496">
        <v>52000</v>
      </c>
      <c r="L119" s="579">
        <v>2600</v>
      </c>
      <c r="M119" s="496">
        <v>43698</v>
      </c>
      <c r="N119" s="496"/>
      <c r="O119" s="579">
        <f>30365+4105</f>
        <v>34470</v>
      </c>
      <c r="P119" s="496"/>
      <c r="Q119" s="496">
        <f t="shared" ref="Q119:R120" si="102">M119+X119</f>
        <v>44635</v>
      </c>
      <c r="R119" s="496">
        <f t="shared" si="102"/>
        <v>0</v>
      </c>
      <c r="S119" s="496">
        <f>3455+T119</f>
        <v>6055</v>
      </c>
      <c r="T119" s="496">
        <v>2600</v>
      </c>
      <c r="U119" s="496"/>
      <c r="V119" s="496"/>
      <c r="W119" s="496"/>
      <c r="X119" s="496">
        <v>937</v>
      </c>
      <c r="Y119" s="496"/>
      <c r="Z119" s="496"/>
      <c r="AA119" s="496"/>
      <c r="AB119" s="520"/>
      <c r="AC119" s="520"/>
      <c r="AD119" s="496"/>
      <c r="AE119" s="496"/>
      <c r="AF119" s="496"/>
      <c r="AG119" s="496"/>
      <c r="AH119" s="496">
        <f t="shared" ref="AH119:AH129" si="103">X119+AB119</f>
        <v>937</v>
      </c>
      <c r="AI119" s="496">
        <f t="shared" ref="AI119:AI129" si="104">Y119+AC119</f>
        <v>0</v>
      </c>
      <c r="AJ119" s="496"/>
      <c r="AK119" s="496"/>
      <c r="AL119" s="496">
        <f t="shared" ref="AL119:AL129" si="105">AP119</f>
        <v>2600</v>
      </c>
      <c r="AM119" s="496">
        <f t="shared" ref="AM119:AM129" si="106">AQ119</f>
        <v>2600</v>
      </c>
      <c r="AN119" s="496">
        <f t="shared" ref="AN119:AN129" si="107">AR119</f>
        <v>0</v>
      </c>
      <c r="AO119" s="496">
        <f t="shared" ref="AO119:AO122" si="108">AS119</f>
        <v>0</v>
      </c>
      <c r="AP119" s="520">
        <f>AQ119</f>
        <v>2600</v>
      </c>
      <c r="AQ119" s="520">
        <v>2600</v>
      </c>
      <c r="AR119" s="496"/>
      <c r="AS119" s="496"/>
      <c r="AT119" s="536"/>
      <c r="AU119" s="484">
        <f t="shared" si="84"/>
        <v>0</v>
      </c>
      <c r="AV119" s="484">
        <f t="shared" ref="AV119:AV151" si="109">V119-AA119</f>
        <v>0</v>
      </c>
      <c r="AW119" s="536"/>
      <c r="AX119" s="548"/>
      <c r="BG119" s="488">
        <f t="shared" si="97"/>
        <v>0</v>
      </c>
    </row>
    <row r="120" spans="1:59" s="82" customFormat="1" ht="59.25" customHeight="1">
      <c r="A120" s="582">
        <v>2</v>
      </c>
      <c r="B120" s="560" t="s">
        <v>404</v>
      </c>
      <c r="C120" s="612" t="s">
        <v>398</v>
      </c>
      <c r="D120" s="612"/>
      <c r="E120" s="566" t="s">
        <v>991</v>
      </c>
      <c r="F120" s="612"/>
      <c r="G120" s="612"/>
      <c r="H120" s="494"/>
      <c r="I120" s="494"/>
      <c r="J120" s="563" t="s">
        <v>405</v>
      </c>
      <c r="K120" s="496">
        <f>L120</f>
        <v>14500</v>
      </c>
      <c r="L120" s="496">
        <v>14500</v>
      </c>
      <c r="M120" s="496">
        <v>0</v>
      </c>
      <c r="N120" s="496">
        <v>0</v>
      </c>
      <c r="O120" s="496">
        <v>0</v>
      </c>
      <c r="P120" s="496">
        <v>0</v>
      </c>
      <c r="Q120" s="496">
        <f t="shared" si="102"/>
        <v>5246.5</v>
      </c>
      <c r="R120" s="496">
        <f t="shared" si="102"/>
        <v>5246.5</v>
      </c>
      <c r="S120" s="496">
        <f>T120</f>
        <v>14500</v>
      </c>
      <c r="T120" s="496">
        <v>14500</v>
      </c>
      <c r="U120" s="496"/>
      <c r="V120" s="496"/>
      <c r="W120" s="496">
        <f>5246.5+6833</f>
        <v>12079.5</v>
      </c>
      <c r="X120" s="496">
        <v>5246.5</v>
      </c>
      <c r="Y120" s="496">
        <v>5246.5</v>
      </c>
      <c r="Z120" s="496"/>
      <c r="AA120" s="496"/>
      <c r="AB120" s="520">
        <v>6833</v>
      </c>
      <c r="AC120" s="520">
        <v>6833</v>
      </c>
      <c r="AD120" s="520"/>
      <c r="AE120" s="496"/>
      <c r="AF120" s="496"/>
      <c r="AG120" s="496"/>
      <c r="AH120" s="496">
        <f t="shared" si="103"/>
        <v>12079.5</v>
      </c>
      <c r="AI120" s="496">
        <f t="shared" si="104"/>
        <v>12079.5</v>
      </c>
      <c r="AJ120" s="496"/>
      <c r="AK120" s="496"/>
      <c r="AL120" s="496">
        <f>AM120</f>
        <v>2420.5</v>
      </c>
      <c r="AM120" s="496">
        <f>T120-AI120</f>
        <v>2420.5</v>
      </c>
      <c r="AN120" s="496">
        <f t="shared" si="107"/>
        <v>0</v>
      </c>
      <c r="AO120" s="496">
        <f t="shared" si="108"/>
        <v>0</v>
      </c>
      <c r="AP120" s="613">
        <f>AQ120</f>
        <v>700</v>
      </c>
      <c r="AQ120" s="496">
        <v>700</v>
      </c>
      <c r="AR120" s="496"/>
      <c r="AS120" s="496"/>
      <c r="AT120" s="536" t="s">
        <v>1024</v>
      </c>
      <c r="AU120" s="484">
        <f t="shared" si="84"/>
        <v>0</v>
      </c>
      <c r="AV120" s="484">
        <f t="shared" si="109"/>
        <v>0</v>
      </c>
      <c r="AW120" s="536">
        <f>AC120</f>
        <v>6833</v>
      </c>
      <c r="AX120" s="548">
        <f>T120</f>
        <v>14500</v>
      </c>
      <c r="AY120" s="82">
        <f>T120-AX120</f>
        <v>0</v>
      </c>
      <c r="BE120" s="82">
        <v>1</v>
      </c>
      <c r="BF120" s="510">
        <f>AQ120</f>
        <v>700</v>
      </c>
      <c r="BG120" s="488">
        <f t="shared" si="97"/>
        <v>1720.5</v>
      </c>
    </row>
    <row r="121" spans="1:59" s="510" customFormat="1" ht="59.25" customHeight="1">
      <c r="A121" s="582">
        <v>3</v>
      </c>
      <c r="B121" s="552" t="s">
        <v>406</v>
      </c>
      <c r="C121" s="612" t="s">
        <v>398</v>
      </c>
      <c r="D121" s="612"/>
      <c r="E121" s="566" t="s">
        <v>991</v>
      </c>
      <c r="F121" s="612"/>
      <c r="G121" s="612"/>
      <c r="H121" s="503"/>
      <c r="I121" s="561" t="s">
        <v>811</v>
      </c>
      <c r="J121" s="495" t="s">
        <v>802</v>
      </c>
      <c r="K121" s="520">
        <v>7500</v>
      </c>
      <c r="L121" s="520">
        <v>7500</v>
      </c>
      <c r="M121" s="496"/>
      <c r="N121" s="496"/>
      <c r="O121" s="496"/>
      <c r="P121" s="496"/>
      <c r="Q121" s="496">
        <f>M121+X121</f>
        <v>98</v>
      </c>
      <c r="R121" s="496">
        <f>N121+Y121</f>
        <v>98</v>
      </c>
      <c r="S121" s="496">
        <f>T121</f>
        <v>7500</v>
      </c>
      <c r="T121" s="496">
        <v>7500</v>
      </c>
      <c r="U121" s="496"/>
      <c r="V121" s="496"/>
      <c r="W121" s="496">
        <f>98+3500</f>
        <v>3598</v>
      </c>
      <c r="X121" s="496">
        <v>98</v>
      </c>
      <c r="Y121" s="496">
        <v>98</v>
      </c>
      <c r="Z121" s="496"/>
      <c r="AA121" s="496"/>
      <c r="AB121" s="496">
        <v>3500</v>
      </c>
      <c r="AC121" s="496">
        <v>3500</v>
      </c>
      <c r="AD121" s="520"/>
      <c r="AE121" s="496"/>
      <c r="AF121" s="520">
        <v>0</v>
      </c>
      <c r="AG121" s="520">
        <v>3050</v>
      </c>
      <c r="AH121" s="496">
        <f t="shared" si="103"/>
        <v>3598</v>
      </c>
      <c r="AI121" s="496">
        <f t="shared" si="104"/>
        <v>3598</v>
      </c>
      <c r="AJ121" s="496"/>
      <c r="AK121" s="496"/>
      <c r="AL121" s="496">
        <f t="shared" si="105"/>
        <v>2500</v>
      </c>
      <c r="AM121" s="496">
        <f t="shared" si="106"/>
        <v>2500</v>
      </c>
      <c r="AN121" s="496">
        <f t="shared" si="107"/>
        <v>0</v>
      </c>
      <c r="AO121" s="496">
        <f t="shared" si="108"/>
        <v>0</v>
      </c>
      <c r="AP121" s="496">
        <f>AQ121</f>
        <v>2500</v>
      </c>
      <c r="AQ121" s="496">
        <v>2500</v>
      </c>
      <c r="AR121" s="496"/>
      <c r="AS121" s="496"/>
      <c r="AT121" s="494"/>
      <c r="AU121" s="484">
        <f t="shared" ref="AU121:AU155" si="110">AP121-AQ121</f>
        <v>0</v>
      </c>
      <c r="AV121" s="484">
        <f t="shared" si="109"/>
        <v>0</v>
      </c>
      <c r="AW121" s="562"/>
      <c r="AX121" s="572"/>
      <c r="BG121" s="488">
        <f t="shared" si="97"/>
        <v>0</v>
      </c>
    </row>
    <row r="122" spans="1:59" s="510" customFormat="1" ht="59.25" customHeight="1">
      <c r="A122" s="582">
        <v>4</v>
      </c>
      <c r="B122" s="599" t="s">
        <v>407</v>
      </c>
      <c r="C122" s="612" t="s">
        <v>398</v>
      </c>
      <c r="D122" s="612"/>
      <c r="E122" s="566" t="s">
        <v>991</v>
      </c>
      <c r="F122" s="612"/>
      <c r="G122" s="612"/>
      <c r="H122" s="503"/>
      <c r="I122" s="561" t="s">
        <v>948</v>
      </c>
      <c r="J122" s="495" t="s">
        <v>408</v>
      </c>
      <c r="K122" s="496">
        <f>L122</f>
        <v>4680</v>
      </c>
      <c r="L122" s="496">
        <v>4680</v>
      </c>
      <c r="M122" s="496"/>
      <c r="N122" s="496"/>
      <c r="O122" s="496"/>
      <c r="P122" s="496"/>
      <c r="Q122" s="496">
        <f>M122+X122</f>
        <v>72</v>
      </c>
      <c r="R122" s="496">
        <f>N122+Y122</f>
        <v>72</v>
      </c>
      <c r="S122" s="496">
        <f>T122</f>
        <v>4680</v>
      </c>
      <c r="T122" s="496">
        <v>4680</v>
      </c>
      <c r="U122" s="496"/>
      <c r="V122" s="496"/>
      <c r="W122" s="496">
        <f>72+2000</f>
        <v>2072</v>
      </c>
      <c r="X122" s="496">
        <v>72</v>
      </c>
      <c r="Y122" s="496">
        <v>72</v>
      </c>
      <c r="Z122" s="496"/>
      <c r="AA122" s="496"/>
      <c r="AB122" s="496">
        <v>2000</v>
      </c>
      <c r="AC122" s="520">
        <v>2000</v>
      </c>
      <c r="AD122" s="520"/>
      <c r="AE122" s="496"/>
      <c r="AF122" s="614">
        <v>1998.59</v>
      </c>
      <c r="AG122" s="614">
        <v>1998.59</v>
      </c>
      <c r="AH122" s="496">
        <f t="shared" si="103"/>
        <v>2072</v>
      </c>
      <c r="AI122" s="496">
        <f t="shared" si="104"/>
        <v>2072</v>
      </c>
      <c r="AJ122" s="496"/>
      <c r="AK122" s="496"/>
      <c r="AL122" s="496">
        <f t="shared" si="105"/>
        <v>2600</v>
      </c>
      <c r="AM122" s="496">
        <f t="shared" si="106"/>
        <v>2600</v>
      </c>
      <c r="AN122" s="496">
        <f t="shared" si="107"/>
        <v>0</v>
      </c>
      <c r="AO122" s="496">
        <f t="shared" si="108"/>
        <v>0</v>
      </c>
      <c r="AP122" s="496">
        <f>AQ122</f>
        <v>2600</v>
      </c>
      <c r="AQ122" s="496">
        <v>2600</v>
      </c>
      <c r="AR122" s="496"/>
      <c r="AS122" s="496"/>
      <c r="AT122" s="494" t="s">
        <v>774</v>
      </c>
      <c r="AU122" s="484">
        <f t="shared" si="110"/>
        <v>0</v>
      </c>
      <c r="AV122" s="484">
        <f t="shared" si="109"/>
        <v>0</v>
      </c>
      <c r="AW122" s="536">
        <f>AC122</f>
        <v>2000</v>
      </c>
      <c r="AX122" s="572">
        <f>S122</f>
        <v>4680</v>
      </c>
      <c r="BE122" s="510">
        <v>1</v>
      </c>
      <c r="BF122" s="510">
        <f>AQ122</f>
        <v>2600</v>
      </c>
      <c r="BG122" s="488">
        <f t="shared" si="97"/>
        <v>0</v>
      </c>
    </row>
    <row r="123" spans="1:59" s="80" customFormat="1" ht="59.25" customHeight="1">
      <c r="A123" s="478" t="s">
        <v>46</v>
      </c>
      <c r="B123" s="539" t="s">
        <v>289</v>
      </c>
      <c r="C123" s="615"/>
      <c r="D123" s="615"/>
      <c r="E123" s="615"/>
      <c r="F123" s="615"/>
      <c r="G123" s="615"/>
      <c r="H123" s="615"/>
      <c r="I123" s="615"/>
      <c r="J123" s="527"/>
      <c r="K123" s="602">
        <f>K124</f>
        <v>55400</v>
      </c>
      <c r="L123" s="602">
        <f t="shared" ref="L123:AS123" si="111">L124</f>
        <v>55400</v>
      </c>
      <c r="M123" s="602">
        <f t="shared" si="111"/>
        <v>0</v>
      </c>
      <c r="N123" s="602">
        <f t="shared" si="111"/>
        <v>0</v>
      </c>
      <c r="O123" s="602">
        <f t="shared" si="111"/>
        <v>0</v>
      </c>
      <c r="P123" s="602">
        <f t="shared" si="111"/>
        <v>0</v>
      </c>
      <c r="Q123" s="602">
        <f t="shared" si="111"/>
        <v>455.5</v>
      </c>
      <c r="R123" s="602">
        <f t="shared" si="111"/>
        <v>455.5</v>
      </c>
      <c r="S123" s="602">
        <f t="shared" si="111"/>
        <v>53300</v>
      </c>
      <c r="T123" s="602">
        <f t="shared" si="111"/>
        <v>53300</v>
      </c>
      <c r="U123" s="602">
        <f t="shared" si="111"/>
        <v>0</v>
      </c>
      <c r="V123" s="602">
        <f t="shared" si="111"/>
        <v>0</v>
      </c>
      <c r="W123" s="602">
        <f t="shared" si="111"/>
        <v>455.5</v>
      </c>
      <c r="X123" s="602">
        <f t="shared" si="111"/>
        <v>455.5</v>
      </c>
      <c r="Y123" s="602">
        <f t="shared" si="111"/>
        <v>455.5</v>
      </c>
      <c r="Z123" s="602">
        <f t="shared" si="111"/>
        <v>0</v>
      </c>
      <c r="AA123" s="602">
        <f t="shared" si="111"/>
        <v>0</v>
      </c>
      <c r="AB123" s="602">
        <f t="shared" si="111"/>
        <v>378</v>
      </c>
      <c r="AC123" s="602">
        <f t="shared" si="111"/>
        <v>378</v>
      </c>
      <c r="AD123" s="602">
        <f t="shared" si="111"/>
        <v>0</v>
      </c>
      <c r="AE123" s="602">
        <f t="shared" si="111"/>
        <v>0</v>
      </c>
      <c r="AF123" s="602">
        <f t="shared" si="111"/>
        <v>0</v>
      </c>
      <c r="AG123" s="602">
        <f t="shared" si="111"/>
        <v>0</v>
      </c>
      <c r="AH123" s="602">
        <f t="shared" si="111"/>
        <v>833.5</v>
      </c>
      <c r="AI123" s="602">
        <f t="shared" si="111"/>
        <v>833.5</v>
      </c>
      <c r="AJ123" s="602"/>
      <c r="AK123" s="602"/>
      <c r="AL123" s="602">
        <f t="shared" si="111"/>
        <v>18400</v>
      </c>
      <c r="AM123" s="602">
        <f t="shared" si="111"/>
        <v>18400</v>
      </c>
      <c r="AN123" s="602">
        <f t="shared" si="111"/>
        <v>0</v>
      </c>
      <c r="AO123" s="602">
        <f t="shared" si="111"/>
        <v>0</v>
      </c>
      <c r="AP123" s="602">
        <f t="shared" si="111"/>
        <v>20500</v>
      </c>
      <c r="AQ123" s="602">
        <f t="shared" si="111"/>
        <v>20500</v>
      </c>
      <c r="AR123" s="602">
        <f t="shared" si="111"/>
        <v>0</v>
      </c>
      <c r="AS123" s="602">
        <f t="shared" si="111"/>
        <v>0</v>
      </c>
      <c r="AT123" s="526"/>
      <c r="AU123" s="484">
        <f t="shared" si="110"/>
        <v>0</v>
      </c>
      <c r="AV123" s="501">
        <f t="shared" si="109"/>
        <v>0</v>
      </c>
      <c r="AW123" s="526"/>
      <c r="AX123" s="531"/>
      <c r="AZ123" s="532"/>
      <c r="BA123" s="532"/>
      <c r="BG123" s="488">
        <f t="shared" si="97"/>
        <v>-2100</v>
      </c>
    </row>
    <row r="124" spans="1:59" s="80" customFormat="1" ht="59.25" customHeight="1">
      <c r="A124" s="556" t="s">
        <v>35</v>
      </c>
      <c r="B124" s="557" t="s">
        <v>45</v>
      </c>
      <c r="C124" s="615"/>
      <c r="D124" s="615"/>
      <c r="E124" s="615"/>
      <c r="F124" s="615"/>
      <c r="G124" s="615"/>
      <c r="H124" s="615"/>
      <c r="I124" s="615"/>
      <c r="J124" s="527"/>
      <c r="K124" s="602">
        <f>SUM(K125:K130)</f>
        <v>55400</v>
      </c>
      <c r="L124" s="602">
        <f t="shared" ref="L124:AI124" si="112">SUM(L125:L130)</f>
        <v>55400</v>
      </c>
      <c r="M124" s="602">
        <f t="shared" si="112"/>
        <v>0</v>
      </c>
      <c r="N124" s="602">
        <f t="shared" si="112"/>
        <v>0</v>
      </c>
      <c r="O124" s="602">
        <f t="shared" si="112"/>
        <v>0</v>
      </c>
      <c r="P124" s="602">
        <f t="shared" si="112"/>
        <v>0</v>
      </c>
      <c r="Q124" s="602">
        <f t="shared" si="112"/>
        <v>455.5</v>
      </c>
      <c r="R124" s="602">
        <f t="shared" si="112"/>
        <v>455.5</v>
      </c>
      <c r="S124" s="602">
        <f t="shared" si="112"/>
        <v>53300</v>
      </c>
      <c r="T124" s="602">
        <f t="shared" si="112"/>
        <v>53300</v>
      </c>
      <c r="U124" s="602">
        <f t="shared" si="112"/>
        <v>0</v>
      </c>
      <c r="V124" s="602">
        <f t="shared" si="112"/>
        <v>0</v>
      </c>
      <c r="W124" s="602">
        <f t="shared" ref="W124" si="113">SUM(W125:W130)</f>
        <v>455.5</v>
      </c>
      <c r="X124" s="602">
        <f t="shared" si="112"/>
        <v>455.5</v>
      </c>
      <c r="Y124" s="602">
        <f t="shared" si="112"/>
        <v>455.5</v>
      </c>
      <c r="Z124" s="602">
        <f t="shared" si="112"/>
        <v>0</v>
      </c>
      <c r="AA124" s="602">
        <f t="shared" si="112"/>
        <v>0</v>
      </c>
      <c r="AB124" s="602">
        <f t="shared" si="112"/>
        <v>378</v>
      </c>
      <c r="AC124" s="602">
        <f t="shared" si="112"/>
        <v>378</v>
      </c>
      <c r="AD124" s="602">
        <f t="shared" si="112"/>
        <v>0</v>
      </c>
      <c r="AE124" s="602">
        <f t="shared" si="112"/>
        <v>0</v>
      </c>
      <c r="AF124" s="602">
        <f t="shared" si="112"/>
        <v>0</v>
      </c>
      <c r="AG124" s="602">
        <f t="shared" si="112"/>
        <v>0</v>
      </c>
      <c r="AH124" s="602">
        <f t="shared" si="112"/>
        <v>833.5</v>
      </c>
      <c r="AI124" s="602">
        <f t="shared" si="112"/>
        <v>833.5</v>
      </c>
      <c r="AJ124" s="602"/>
      <c r="AK124" s="602"/>
      <c r="AL124" s="602">
        <f t="shared" ref="AL124:AS124" si="114">SUM(AL125:AL130)</f>
        <v>18400</v>
      </c>
      <c r="AM124" s="602">
        <f t="shared" si="114"/>
        <v>18400</v>
      </c>
      <c r="AN124" s="602">
        <f t="shared" si="114"/>
        <v>0</v>
      </c>
      <c r="AO124" s="602">
        <f t="shared" si="114"/>
        <v>0</v>
      </c>
      <c r="AP124" s="602">
        <f t="shared" si="114"/>
        <v>20500</v>
      </c>
      <c r="AQ124" s="602">
        <f t="shared" si="114"/>
        <v>20500</v>
      </c>
      <c r="AR124" s="602">
        <f t="shared" si="114"/>
        <v>0</v>
      </c>
      <c r="AS124" s="602">
        <f t="shared" si="114"/>
        <v>0</v>
      </c>
      <c r="AT124" s="526"/>
      <c r="AU124" s="484">
        <f t="shared" si="110"/>
        <v>0</v>
      </c>
      <c r="AV124" s="501"/>
      <c r="AW124" s="526"/>
      <c r="AX124" s="531"/>
      <c r="AZ124" s="532"/>
      <c r="BA124" s="532"/>
      <c r="BG124" s="488">
        <f t="shared" si="97"/>
        <v>-2100</v>
      </c>
    </row>
    <row r="125" spans="1:59" s="82" customFormat="1" ht="59.25" customHeight="1">
      <c r="A125" s="582">
        <v>1</v>
      </c>
      <c r="B125" s="596" t="s">
        <v>409</v>
      </c>
      <c r="C125" s="612" t="s">
        <v>398</v>
      </c>
      <c r="D125" s="612"/>
      <c r="E125" s="566" t="s">
        <v>991</v>
      </c>
      <c r="F125" s="612"/>
      <c r="G125" s="612"/>
      <c r="H125" s="494"/>
      <c r="I125" s="561" t="s">
        <v>296</v>
      </c>
      <c r="J125" s="563" t="s">
        <v>410</v>
      </c>
      <c r="K125" s="496">
        <v>21000</v>
      </c>
      <c r="L125" s="496">
        <v>21000</v>
      </c>
      <c r="M125" s="496"/>
      <c r="N125" s="496"/>
      <c r="O125" s="496"/>
      <c r="P125" s="496"/>
      <c r="Q125" s="496">
        <f t="shared" ref="Q125:R130" si="115">M125+X125</f>
        <v>0</v>
      </c>
      <c r="R125" s="496">
        <f t="shared" si="115"/>
        <v>0</v>
      </c>
      <c r="S125" s="496">
        <v>18900</v>
      </c>
      <c r="T125" s="496">
        <v>18900</v>
      </c>
      <c r="U125" s="496"/>
      <c r="V125" s="496"/>
      <c r="W125" s="496"/>
      <c r="X125" s="496"/>
      <c r="Y125" s="496"/>
      <c r="Z125" s="496"/>
      <c r="AA125" s="496"/>
      <c r="AB125" s="496">
        <v>378</v>
      </c>
      <c r="AC125" s="496">
        <v>378</v>
      </c>
      <c r="AD125" s="520"/>
      <c r="AE125" s="496"/>
      <c r="AF125" s="496"/>
      <c r="AG125" s="496"/>
      <c r="AH125" s="496">
        <f t="shared" si="103"/>
        <v>378</v>
      </c>
      <c r="AI125" s="496">
        <f t="shared" si="104"/>
        <v>378</v>
      </c>
      <c r="AJ125" s="496"/>
      <c r="AK125" s="496"/>
      <c r="AL125" s="496">
        <f t="shared" si="105"/>
        <v>6500</v>
      </c>
      <c r="AM125" s="496">
        <f t="shared" si="106"/>
        <v>6500</v>
      </c>
      <c r="AN125" s="496">
        <f t="shared" si="107"/>
        <v>0</v>
      </c>
      <c r="AO125" s="496"/>
      <c r="AP125" s="613">
        <f t="shared" ref="AP125:AP130" si="116">AQ125</f>
        <v>6500</v>
      </c>
      <c r="AQ125" s="496">
        <v>6500</v>
      </c>
      <c r="AR125" s="496"/>
      <c r="AS125" s="496"/>
      <c r="AT125" s="536" t="s">
        <v>1068</v>
      </c>
      <c r="AU125" s="484">
        <f t="shared" si="110"/>
        <v>0</v>
      </c>
      <c r="AV125" s="484">
        <f t="shared" si="109"/>
        <v>0</v>
      </c>
      <c r="AW125" s="536">
        <f>AB125</f>
        <v>378</v>
      </c>
      <c r="AX125" s="548">
        <f>T125</f>
        <v>18900</v>
      </c>
      <c r="AY125" s="82">
        <f>T125-AX125</f>
        <v>0</v>
      </c>
      <c r="BB125" s="536" t="s">
        <v>411</v>
      </c>
      <c r="BE125" s="82">
        <v>1</v>
      </c>
      <c r="BF125" s="510">
        <f>AQ125</f>
        <v>6500</v>
      </c>
      <c r="BG125" s="488">
        <f t="shared" si="97"/>
        <v>0</v>
      </c>
    </row>
    <row r="126" spans="1:59" s="510" customFormat="1" ht="59.25" customHeight="1">
      <c r="A126" s="582">
        <v>3</v>
      </c>
      <c r="B126" s="552" t="s">
        <v>413</v>
      </c>
      <c r="C126" s="612" t="s">
        <v>398</v>
      </c>
      <c r="D126" s="612"/>
      <c r="E126" s="566" t="s">
        <v>991</v>
      </c>
      <c r="F126" s="612"/>
      <c r="G126" s="612"/>
      <c r="H126" s="503"/>
      <c r="I126" s="561" t="s">
        <v>381</v>
      </c>
      <c r="J126" s="495" t="s">
        <v>414</v>
      </c>
      <c r="K126" s="496">
        <v>7300</v>
      </c>
      <c r="L126" s="496">
        <v>7300</v>
      </c>
      <c r="M126" s="496"/>
      <c r="N126" s="496"/>
      <c r="O126" s="496"/>
      <c r="P126" s="496"/>
      <c r="Q126" s="496">
        <f t="shared" si="115"/>
        <v>97.5</v>
      </c>
      <c r="R126" s="496">
        <f t="shared" si="115"/>
        <v>97.5</v>
      </c>
      <c r="S126" s="496">
        <f>T126</f>
        <v>7300</v>
      </c>
      <c r="T126" s="496">
        <v>7300</v>
      </c>
      <c r="U126" s="496"/>
      <c r="V126" s="496"/>
      <c r="W126" s="496">
        <f>X126</f>
        <v>97.5</v>
      </c>
      <c r="X126" s="496">
        <v>97.5</v>
      </c>
      <c r="Y126" s="496">
        <v>97.5</v>
      </c>
      <c r="Z126" s="496"/>
      <c r="AA126" s="496"/>
      <c r="AB126" s="496"/>
      <c r="AC126" s="496"/>
      <c r="AD126" s="520"/>
      <c r="AE126" s="496"/>
      <c r="AF126" s="496"/>
      <c r="AG126" s="496"/>
      <c r="AH126" s="496">
        <f t="shared" si="103"/>
        <v>97.5</v>
      </c>
      <c r="AI126" s="496">
        <f t="shared" si="104"/>
        <v>97.5</v>
      </c>
      <c r="AJ126" s="496"/>
      <c r="AK126" s="496"/>
      <c r="AL126" s="496">
        <f>AM126</f>
        <v>2500</v>
      </c>
      <c r="AM126" s="496">
        <v>2500</v>
      </c>
      <c r="AN126" s="496">
        <f t="shared" si="107"/>
        <v>0</v>
      </c>
      <c r="AO126" s="496"/>
      <c r="AP126" s="496">
        <f t="shared" si="116"/>
        <v>2800</v>
      </c>
      <c r="AQ126" s="496">
        <v>2800</v>
      </c>
      <c r="AR126" s="496"/>
      <c r="AS126" s="496" t="s">
        <v>315</v>
      </c>
      <c r="AT126" s="536" t="s">
        <v>1068</v>
      </c>
      <c r="AU126" s="484">
        <f t="shared" si="110"/>
        <v>0</v>
      </c>
      <c r="AV126" s="484">
        <f t="shared" si="109"/>
        <v>0</v>
      </c>
      <c r="AW126" s="562"/>
      <c r="AX126" s="572"/>
      <c r="BG126" s="488">
        <f t="shared" si="97"/>
        <v>-300</v>
      </c>
    </row>
    <row r="127" spans="1:59" s="510" customFormat="1" ht="59.25" customHeight="1">
      <c r="A127" s="582">
        <v>4</v>
      </c>
      <c r="B127" s="616" t="s">
        <v>415</v>
      </c>
      <c r="C127" s="612" t="s">
        <v>398</v>
      </c>
      <c r="D127" s="612"/>
      <c r="E127" s="566" t="s">
        <v>991</v>
      </c>
      <c r="F127" s="612"/>
      <c r="G127" s="612"/>
      <c r="H127" s="503"/>
      <c r="I127" s="561" t="s">
        <v>381</v>
      </c>
      <c r="J127" s="495" t="s">
        <v>416</v>
      </c>
      <c r="K127" s="496">
        <v>7300</v>
      </c>
      <c r="L127" s="496">
        <v>7300</v>
      </c>
      <c r="M127" s="496"/>
      <c r="N127" s="496"/>
      <c r="O127" s="496"/>
      <c r="P127" s="496"/>
      <c r="Q127" s="496">
        <f t="shared" si="115"/>
        <v>98</v>
      </c>
      <c r="R127" s="496">
        <f t="shared" si="115"/>
        <v>98</v>
      </c>
      <c r="S127" s="496">
        <f>T127</f>
        <v>7300</v>
      </c>
      <c r="T127" s="496">
        <v>7300</v>
      </c>
      <c r="U127" s="496"/>
      <c r="V127" s="496"/>
      <c r="W127" s="496">
        <f t="shared" ref="W127:W130" si="117">X127</f>
        <v>98</v>
      </c>
      <c r="X127" s="496">
        <v>98</v>
      </c>
      <c r="Y127" s="496">
        <v>98</v>
      </c>
      <c r="Z127" s="496"/>
      <c r="AA127" s="496"/>
      <c r="AB127" s="496"/>
      <c r="AC127" s="496"/>
      <c r="AD127" s="496"/>
      <c r="AE127" s="496"/>
      <c r="AF127" s="496"/>
      <c r="AG127" s="496"/>
      <c r="AH127" s="496">
        <f t="shared" si="103"/>
        <v>98</v>
      </c>
      <c r="AI127" s="496">
        <f t="shared" si="104"/>
        <v>98</v>
      </c>
      <c r="AJ127" s="496"/>
      <c r="AK127" s="496"/>
      <c r="AL127" s="496">
        <f>AM127</f>
        <v>2500</v>
      </c>
      <c r="AM127" s="496">
        <v>2500</v>
      </c>
      <c r="AN127" s="496">
        <f t="shared" si="107"/>
        <v>0</v>
      </c>
      <c r="AO127" s="496"/>
      <c r="AP127" s="496">
        <f t="shared" si="116"/>
        <v>2800</v>
      </c>
      <c r="AQ127" s="496">
        <v>2800</v>
      </c>
      <c r="AR127" s="496"/>
      <c r="AS127" s="496"/>
      <c r="AT127" s="536" t="s">
        <v>1068</v>
      </c>
      <c r="AU127" s="484">
        <f t="shared" si="110"/>
        <v>0</v>
      </c>
      <c r="AV127" s="484">
        <f t="shared" si="109"/>
        <v>0</v>
      </c>
      <c r="AW127" s="562"/>
      <c r="AX127" s="572"/>
      <c r="BG127" s="488">
        <f t="shared" si="97"/>
        <v>-300</v>
      </c>
    </row>
    <row r="128" spans="1:59" s="510" customFormat="1" ht="59.25" customHeight="1">
      <c r="A128" s="582">
        <v>5</v>
      </c>
      <c r="B128" s="552" t="s">
        <v>417</v>
      </c>
      <c r="C128" s="612" t="s">
        <v>398</v>
      </c>
      <c r="D128" s="612"/>
      <c r="E128" s="566" t="s">
        <v>991</v>
      </c>
      <c r="F128" s="612"/>
      <c r="G128" s="612"/>
      <c r="H128" s="503"/>
      <c r="I128" s="561" t="s">
        <v>381</v>
      </c>
      <c r="J128" s="495" t="s">
        <v>418</v>
      </c>
      <c r="K128" s="496">
        <v>7500</v>
      </c>
      <c r="L128" s="496">
        <v>7500</v>
      </c>
      <c r="M128" s="496"/>
      <c r="N128" s="496"/>
      <c r="O128" s="496"/>
      <c r="P128" s="496"/>
      <c r="Q128" s="496">
        <f t="shared" si="115"/>
        <v>97.5</v>
      </c>
      <c r="R128" s="496">
        <f t="shared" si="115"/>
        <v>97.5</v>
      </c>
      <c r="S128" s="496">
        <f>T128</f>
        <v>7500</v>
      </c>
      <c r="T128" s="496">
        <v>7500</v>
      </c>
      <c r="U128" s="496"/>
      <c r="V128" s="496"/>
      <c r="W128" s="496">
        <f t="shared" si="117"/>
        <v>97.5</v>
      </c>
      <c r="X128" s="496">
        <v>97.5</v>
      </c>
      <c r="Y128" s="496">
        <v>97.5</v>
      </c>
      <c r="Z128" s="496"/>
      <c r="AA128" s="496"/>
      <c r="AB128" s="496"/>
      <c r="AC128" s="496"/>
      <c r="AD128" s="496"/>
      <c r="AE128" s="496"/>
      <c r="AF128" s="496"/>
      <c r="AG128" s="496"/>
      <c r="AH128" s="496">
        <f t="shared" si="103"/>
        <v>97.5</v>
      </c>
      <c r="AI128" s="496">
        <f t="shared" si="104"/>
        <v>97.5</v>
      </c>
      <c r="AJ128" s="496"/>
      <c r="AK128" s="496"/>
      <c r="AL128" s="496">
        <f t="shared" si="105"/>
        <v>2800</v>
      </c>
      <c r="AM128" s="496">
        <f t="shared" si="106"/>
        <v>2800</v>
      </c>
      <c r="AN128" s="496">
        <f t="shared" si="107"/>
        <v>0</v>
      </c>
      <c r="AO128" s="496"/>
      <c r="AP128" s="496">
        <f t="shared" si="116"/>
        <v>2800</v>
      </c>
      <c r="AQ128" s="496">
        <v>2800</v>
      </c>
      <c r="AR128" s="496"/>
      <c r="AS128" s="496"/>
      <c r="AT128" s="536" t="s">
        <v>1068</v>
      </c>
      <c r="AU128" s="484">
        <f t="shared" si="110"/>
        <v>0</v>
      </c>
      <c r="AV128" s="484">
        <f t="shared" si="109"/>
        <v>0</v>
      </c>
      <c r="AW128" s="562"/>
      <c r="AX128" s="572"/>
      <c r="BG128" s="488">
        <f t="shared" si="97"/>
        <v>0</v>
      </c>
    </row>
    <row r="129" spans="1:59" s="510" customFormat="1" ht="59.25" customHeight="1">
      <c r="A129" s="582">
        <v>6</v>
      </c>
      <c r="B129" s="552" t="s">
        <v>419</v>
      </c>
      <c r="C129" s="612" t="s">
        <v>398</v>
      </c>
      <c r="D129" s="612"/>
      <c r="E129" s="566" t="s">
        <v>991</v>
      </c>
      <c r="F129" s="612"/>
      <c r="G129" s="612"/>
      <c r="H129" s="503"/>
      <c r="I129" s="561" t="s">
        <v>381</v>
      </c>
      <c r="J129" s="495" t="s">
        <v>420</v>
      </c>
      <c r="K129" s="496">
        <v>7300</v>
      </c>
      <c r="L129" s="496">
        <v>7300</v>
      </c>
      <c r="M129" s="496"/>
      <c r="N129" s="496"/>
      <c r="O129" s="496"/>
      <c r="P129" s="496"/>
      <c r="Q129" s="496">
        <f t="shared" si="115"/>
        <v>97.5</v>
      </c>
      <c r="R129" s="496">
        <f t="shared" si="115"/>
        <v>97.5</v>
      </c>
      <c r="S129" s="496">
        <f>T129</f>
        <v>7300</v>
      </c>
      <c r="T129" s="496">
        <v>7300</v>
      </c>
      <c r="U129" s="496"/>
      <c r="V129" s="496"/>
      <c r="W129" s="496">
        <f t="shared" si="117"/>
        <v>97.5</v>
      </c>
      <c r="X129" s="496">
        <v>97.5</v>
      </c>
      <c r="Y129" s="496">
        <v>97.5</v>
      </c>
      <c r="Z129" s="496"/>
      <c r="AA129" s="496"/>
      <c r="AB129" s="496"/>
      <c r="AC129" s="496"/>
      <c r="AD129" s="496"/>
      <c r="AE129" s="496"/>
      <c r="AF129" s="496"/>
      <c r="AG129" s="496"/>
      <c r="AH129" s="496">
        <f t="shared" si="103"/>
        <v>97.5</v>
      </c>
      <c r="AI129" s="496">
        <f t="shared" si="104"/>
        <v>97.5</v>
      </c>
      <c r="AJ129" s="496"/>
      <c r="AK129" s="496"/>
      <c r="AL129" s="496">
        <f t="shared" si="105"/>
        <v>2800</v>
      </c>
      <c r="AM129" s="496">
        <f t="shared" si="106"/>
        <v>2800</v>
      </c>
      <c r="AN129" s="496">
        <f t="shared" si="107"/>
        <v>0</v>
      </c>
      <c r="AO129" s="496"/>
      <c r="AP129" s="496">
        <f t="shared" si="116"/>
        <v>2800</v>
      </c>
      <c r="AQ129" s="496">
        <v>2800</v>
      </c>
      <c r="AR129" s="496"/>
      <c r="AS129" s="496"/>
      <c r="AT129" s="536" t="s">
        <v>1068</v>
      </c>
      <c r="AU129" s="484">
        <f t="shared" si="110"/>
        <v>0</v>
      </c>
      <c r="AV129" s="484">
        <f t="shared" si="109"/>
        <v>0</v>
      </c>
      <c r="AW129" s="562"/>
      <c r="AX129" s="572"/>
      <c r="BG129" s="488">
        <f t="shared" si="97"/>
        <v>0</v>
      </c>
    </row>
    <row r="130" spans="1:59" s="510" customFormat="1" ht="59.25" customHeight="1">
      <c r="A130" s="582">
        <v>7</v>
      </c>
      <c r="B130" s="565" t="s">
        <v>412</v>
      </c>
      <c r="C130" s="612" t="s">
        <v>398</v>
      </c>
      <c r="D130" s="612"/>
      <c r="E130" s="566" t="s">
        <v>991</v>
      </c>
      <c r="F130" s="612"/>
      <c r="G130" s="612"/>
      <c r="H130" s="503"/>
      <c r="I130" s="494" t="s">
        <v>381</v>
      </c>
      <c r="J130" s="536" t="s">
        <v>949</v>
      </c>
      <c r="K130" s="546">
        <v>5000</v>
      </c>
      <c r="L130" s="546">
        <v>5000</v>
      </c>
      <c r="M130" s="496"/>
      <c r="N130" s="496"/>
      <c r="O130" s="496"/>
      <c r="P130" s="496"/>
      <c r="Q130" s="496">
        <f t="shared" si="115"/>
        <v>65</v>
      </c>
      <c r="R130" s="496">
        <f t="shared" si="115"/>
        <v>65</v>
      </c>
      <c r="S130" s="496">
        <v>5000</v>
      </c>
      <c r="T130" s="496">
        <f>S130</f>
        <v>5000</v>
      </c>
      <c r="U130" s="496"/>
      <c r="V130" s="496"/>
      <c r="W130" s="496">
        <f t="shared" si="117"/>
        <v>65</v>
      </c>
      <c r="X130" s="496">
        <v>65</v>
      </c>
      <c r="Y130" s="496">
        <v>65</v>
      </c>
      <c r="Z130" s="496"/>
      <c r="AA130" s="496"/>
      <c r="AB130" s="496"/>
      <c r="AC130" s="496"/>
      <c r="AD130" s="496"/>
      <c r="AE130" s="496"/>
      <c r="AF130" s="496"/>
      <c r="AG130" s="496"/>
      <c r="AH130" s="496">
        <f>X130+AB130</f>
        <v>65</v>
      </c>
      <c r="AI130" s="496">
        <f>Y130+AC130</f>
        <v>65</v>
      </c>
      <c r="AJ130" s="496"/>
      <c r="AK130" s="496"/>
      <c r="AL130" s="496">
        <v>1300</v>
      </c>
      <c r="AM130" s="496">
        <v>1300</v>
      </c>
      <c r="AN130" s="496">
        <f>AR130</f>
        <v>0</v>
      </c>
      <c r="AO130" s="496"/>
      <c r="AP130" s="496">
        <f t="shared" si="116"/>
        <v>2800</v>
      </c>
      <c r="AQ130" s="496">
        <v>2800</v>
      </c>
      <c r="AR130" s="496"/>
      <c r="AS130" s="496"/>
      <c r="AT130" s="536" t="s">
        <v>1068</v>
      </c>
      <c r="AU130" s="484">
        <f>AP130-AQ130</f>
        <v>0</v>
      </c>
      <c r="AV130" s="484">
        <f>V130-AA130</f>
        <v>0</v>
      </c>
      <c r="AW130" s="562"/>
      <c r="AX130" s="572"/>
      <c r="BG130" s="488">
        <f>AL130-AQ130</f>
        <v>-1500</v>
      </c>
    </row>
    <row r="131" spans="1:59" s="80" customFormat="1" ht="59.25" customHeight="1">
      <c r="A131" s="549" t="s">
        <v>279</v>
      </c>
      <c r="B131" s="534" t="s">
        <v>169</v>
      </c>
      <c r="C131" s="610"/>
      <c r="D131" s="610"/>
      <c r="E131" s="610"/>
      <c r="F131" s="610"/>
      <c r="G131" s="610"/>
      <c r="H131" s="526"/>
      <c r="I131" s="526"/>
      <c r="J131" s="481"/>
      <c r="K131" s="482">
        <f>K132</f>
        <v>17500</v>
      </c>
      <c r="L131" s="482">
        <f t="shared" ref="L131:AS131" si="118">L132</f>
        <v>12841</v>
      </c>
      <c r="M131" s="482">
        <f t="shared" si="118"/>
        <v>0</v>
      </c>
      <c r="N131" s="482">
        <f t="shared" si="118"/>
        <v>0</v>
      </c>
      <c r="O131" s="482">
        <f t="shared" si="118"/>
        <v>0</v>
      </c>
      <c r="P131" s="482">
        <f t="shared" si="118"/>
        <v>0</v>
      </c>
      <c r="Q131" s="482">
        <f t="shared" si="118"/>
        <v>0</v>
      </c>
      <c r="R131" s="482">
        <f t="shared" si="118"/>
        <v>0</v>
      </c>
      <c r="S131" s="482">
        <f t="shared" si="118"/>
        <v>31916</v>
      </c>
      <c r="T131" s="482">
        <f t="shared" si="118"/>
        <v>31916</v>
      </c>
      <c r="U131" s="482">
        <f t="shared" si="118"/>
        <v>0</v>
      </c>
      <c r="V131" s="482">
        <f t="shared" si="118"/>
        <v>0</v>
      </c>
      <c r="W131" s="482"/>
      <c r="X131" s="482">
        <f t="shared" si="118"/>
        <v>0</v>
      </c>
      <c r="Y131" s="482">
        <f t="shared" si="118"/>
        <v>0</v>
      </c>
      <c r="Z131" s="482">
        <f t="shared" si="118"/>
        <v>0</v>
      </c>
      <c r="AA131" s="482">
        <f t="shared" si="118"/>
        <v>0</v>
      </c>
      <c r="AB131" s="482">
        <f t="shared" si="118"/>
        <v>0</v>
      </c>
      <c r="AC131" s="482">
        <f t="shared" si="118"/>
        <v>0</v>
      </c>
      <c r="AD131" s="482">
        <f t="shared" si="118"/>
        <v>0</v>
      </c>
      <c r="AE131" s="482">
        <f t="shared" si="118"/>
        <v>0</v>
      </c>
      <c r="AF131" s="482">
        <f t="shared" si="118"/>
        <v>0</v>
      </c>
      <c r="AG131" s="482">
        <f t="shared" si="118"/>
        <v>0</v>
      </c>
      <c r="AH131" s="482">
        <f t="shared" si="118"/>
        <v>0</v>
      </c>
      <c r="AI131" s="482">
        <f t="shared" si="118"/>
        <v>0</v>
      </c>
      <c r="AJ131" s="482"/>
      <c r="AK131" s="482"/>
      <c r="AL131" s="482">
        <f t="shared" si="118"/>
        <v>328</v>
      </c>
      <c r="AM131" s="482">
        <f t="shared" si="118"/>
        <v>328</v>
      </c>
      <c r="AN131" s="482">
        <f t="shared" si="118"/>
        <v>0</v>
      </c>
      <c r="AO131" s="482">
        <f t="shared" si="118"/>
        <v>0</v>
      </c>
      <c r="AP131" s="482">
        <f t="shared" si="118"/>
        <v>428</v>
      </c>
      <c r="AQ131" s="482">
        <f t="shared" si="118"/>
        <v>428</v>
      </c>
      <c r="AR131" s="482"/>
      <c r="AS131" s="482">
        <f t="shared" si="118"/>
        <v>0</v>
      </c>
      <c r="AT131" s="526"/>
      <c r="AU131" s="489"/>
      <c r="AV131" s="489"/>
      <c r="AW131" s="541"/>
      <c r="AX131" s="542"/>
      <c r="BG131" s="488">
        <f t="shared" si="97"/>
        <v>-100</v>
      </c>
    </row>
    <row r="132" spans="1:59" s="80" customFormat="1" ht="59.25" customHeight="1">
      <c r="A132" s="556" t="s">
        <v>35</v>
      </c>
      <c r="B132" s="557" t="s">
        <v>45</v>
      </c>
      <c r="C132" s="610"/>
      <c r="D132" s="610"/>
      <c r="E132" s="610"/>
      <c r="F132" s="610"/>
      <c r="G132" s="610"/>
      <c r="H132" s="526"/>
      <c r="I132" s="526"/>
      <c r="J132" s="481"/>
      <c r="K132" s="482">
        <f>SUM(K133:K137)</f>
        <v>17500</v>
      </c>
      <c r="L132" s="482">
        <f t="shared" ref="L132:AS132" si="119">SUM(L133:L137)</f>
        <v>12841</v>
      </c>
      <c r="M132" s="482">
        <f t="shared" si="119"/>
        <v>0</v>
      </c>
      <c r="N132" s="482">
        <f t="shared" si="119"/>
        <v>0</v>
      </c>
      <c r="O132" s="482">
        <f t="shared" si="119"/>
        <v>0</v>
      </c>
      <c r="P132" s="482">
        <f t="shared" si="119"/>
        <v>0</v>
      </c>
      <c r="Q132" s="482">
        <f t="shared" si="119"/>
        <v>0</v>
      </c>
      <c r="R132" s="482">
        <f t="shared" si="119"/>
        <v>0</v>
      </c>
      <c r="S132" s="482">
        <f t="shared" si="119"/>
        <v>31916</v>
      </c>
      <c r="T132" s="482">
        <f t="shared" si="119"/>
        <v>31916</v>
      </c>
      <c r="U132" s="482">
        <f t="shared" si="119"/>
        <v>0</v>
      </c>
      <c r="V132" s="482">
        <f t="shared" si="119"/>
        <v>0</v>
      </c>
      <c r="W132" s="482">
        <f t="shared" si="119"/>
        <v>0</v>
      </c>
      <c r="X132" s="482">
        <f t="shared" si="119"/>
        <v>0</v>
      </c>
      <c r="Y132" s="482">
        <f t="shared" si="119"/>
        <v>0</v>
      </c>
      <c r="Z132" s="482">
        <f t="shared" si="119"/>
        <v>0</v>
      </c>
      <c r="AA132" s="482">
        <f t="shared" si="119"/>
        <v>0</v>
      </c>
      <c r="AB132" s="482">
        <f t="shared" si="119"/>
        <v>0</v>
      </c>
      <c r="AC132" s="482">
        <f t="shared" si="119"/>
        <v>0</v>
      </c>
      <c r="AD132" s="482">
        <f t="shared" si="119"/>
        <v>0</v>
      </c>
      <c r="AE132" s="482">
        <f t="shared" si="119"/>
        <v>0</v>
      </c>
      <c r="AF132" s="482">
        <f t="shared" si="119"/>
        <v>0</v>
      </c>
      <c r="AG132" s="482">
        <f t="shared" si="119"/>
        <v>0</v>
      </c>
      <c r="AH132" s="482">
        <f t="shared" si="119"/>
        <v>0</v>
      </c>
      <c r="AI132" s="482">
        <f t="shared" si="119"/>
        <v>0</v>
      </c>
      <c r="AJ132" s="482">
        <f t="shared" si="119"/>
        <v>0</v>
      </c>
      <c r="AK132" s="482">
        <f t="shared" si="119"/>
        <v>0</v>
      </c>
      <c r="AL132" s="482">
        <f t="shared" si="119"/>
        <v>328</v>
      </c>
      <c r="AM132" s="482">
        <f t="shared" si="119"/>
        <v>328</v>
      </c>
      <c r="AN132" s="482">
        <f t="shared" si="119"/>
        <v>0</v>
      </c>
      <c r="AO132" s="482">
        <f t="shared" si="119"/>
        <v>0</v>
      </c>
      <c r="AP132" s="482">
        <f t="shared" si="119"/>
        <v>428</v>
      </c>
      <c r="AQ132" s="482">
        <f t="shared" si="119"/>
        <v>428</v>
      </c>
      <c r="AR132" s="482">
        <f t="shared" si="119"/>
        <v>0</v>
      </c>
      <c r="AS132" s="482">
        <f t="shared" si="119"/>
        <v>0</v>
      </c>
      <c r="AT132" s="526"/>
      <c r="AU132" s="489"/>
      <c r="AV132" s="489"/>
      <c r="AW132" s="541"/>
      <c r="AX132" s="542"/>
      <c r="BG132" s="488">
        <f t="shared" si="97"/>
        <v>-100</v>
      </c>
    </row>
    <row r="133" spans="1:59" s="80" customFormat="1" ht="59.25" customHeight="1">
      <c r="A133" s="617" t="s">
        <v>37</v>
      </c>
      <c r="B133" s="596" t="s">
        <v>422</v>
      </c>
      <c r="C133" s="610"/>
      <c r="D133" s="610"/>
      <c r="E133" s="610"/>
      <c r="F133" s="610"/>
      <c r="G133" s="610"/>
      <c r="H133" s="526"/>
      <c r="I133" s="526"/>
      <c r="J133" s="481"/>
      <c r="K133" s="496">
        <f>L133</f>
        <v>6500</v>
      </c>
      <c r="L133" s="496">
        <v>6500</v>
      </c>
      <c r="M133" s="482"/>
      <c r="N133" s="482"/>
      <c r="O133" s="482"/>
      <c r="P133" s="482"/>
      <c r="Q133" s="482"/>
      <c r="R133" s="482"/>
      <c r="S133" s="496">
        <f>T133</f>
        <v>6500</v>
      </c>
      <c r="T133" s="496">
        <v>6500</v>
      </c>
      <c r="U133" s="482"/>
      <c r="V133" s="482"/>
      <c r="W133" s="482"/>
      <c r="X133" s="482"/>
      <c r="Y133" s="482"/>
      <c r="Z133" s="482"/>
      <c r="AA133" s="482"/>
      <c r="AB133" s="482"/>
      <c r="AC133" s="482"/>
      <c r="AD133" s="482"/>
      <c r="AE133" s="482"/>
      <c r="AF133" s="482"/>
      <c r="AG133" s="482"/>
      <c r="AH133" s="482"/>
      <c r="AI133" s="482"/>
      <c r="AJ133" s="482"/>
      <c r="AK133" s="482"/>
      <c r="AL133" s="482"/>
      <c r="AM133" s="482"/>
      <c r="AN133" s="482"/>
      <c r="AO133" s="482"/>
      <c r="AP133" s="496">
        <f>AQ133</f>
        <v>100</v>
      </c>
      <c r="AQ133" s="496">
        <v>100</v>
      </c>
      <c r="AR133" s="482"/>
      <c r="AS133" s="482"/>
      <c r="AT133" s="526"/>
      <c r="AU133" s="489"/>
      <c r="AV133" s="489"/>
      <c r="AW133" s="541"/>
      <c r="AX133" s="542"/>
      <c r="BF133" s="80">
        <v>200</v>
      </c>
      <c r="BG133" s="488"/>
    </row>
    <row r="134" spans="1:59" s="510" customFormat="1" ht="59.25" customHeight="1">
      <c r="A134" s="582">
        <v>2</v>
      </c>
      <c r="B134" s="596" t="s">
        <v>423</v>
      </c>
      <c r="C134" s="612"/>
      <c r="D134" s="612"/>
      <c r="E134" s="566" t="s">
        <v>991</v>
      </c>
      <c r="F134" s="612"/>
      <c r="G134" s="612"/>
      <c r="H134" s="503"/>
      <c r="I134" s="503"/>
      <c r="J134" s="495"/>
      <c r="K134" s="496"/>
      <c r="L134" s="496"/>
      <c r="M134" s="496"/>
      <c r="N134" s="496"/>
      <c r="O134" s="496"/>
      <c r="P134" s="496"/>
      <c r="Q134" s="496">
        <f t="shared" ref="Q134" si="120">M134+X134</f>
        <v>0</v>
      </c>
      <c r="R134" s="496">
        <f t="shared" ref="R134" si="121">N134+Y134</f>
        <v>0</v>
      </c>
      <c r="S134" s="496">
        <v>8000</v>
      </c>
      <c r="T134" s="496">
        <v>8000</v>
      </c>
      <c r="U134" s="496"/>
      <c r="V134" s="496"/>
      <c r="W134" s="496"/>
      <c r="X134" s="496"/>
      <c r="Y134" s="496"/>
      <c r="Z134" s="496"/>
      <c r="AA134" s="496"/>
      <c r="AB134" s="496"/>
      <c r="AC134" s="496"/>
      <c r="AD134" s="496"/>
      <c r="AE134" s="496"/>
      <c r="AF134" s="496"/>
      <c r="AG134" s="496"/>
      <c r="AH134" s="496">
        <f t="shared" ref="AH134" si="122">X134+AB134</f>
        <v>0</v>
      </c>
      <c r="AI134" s="496">
        <f t="shared" ref="AI134" si="123">Y134+AC134</f>
        <v>0</v>
      </c>
      <c r="AJ134" s="496"/>
      <c r="AK134" s="496"/>
      <c r="AL134" s="496">
        <f>AM134</f>
        <v>100</v>
      </c>
      <c r="AM134" s="496">
        <v>100</v>
      </c>
      <c r="AN134" s="496">
        <f t="shared" ref="AN134" si="124">AR134</f>
        <v>0</v>
      </c>
      <c r="AO134" s="496"/>
      <c r="AP134" s="496">
        <f>AQ134</f>
        <v>100</v>
      </c>
      <c r="AQ134" s="496">
        <v>100</v>
      </c>
      <c r="AR134" s="496"/>
      <c r="AS134" s="496"/>
      <c r="AT134" s="494"/>
      <c r="AU134" s="484">
        <f t="shared" ref="AU134:AU137" si="125">AP134-AQ134</f>
        <v>0</v>
      </c>
      <c r="AV134" s="484">
        <f t="shared" ref="AV134:AV137" si="126">V134-AA134</f>
        <v>0</v>
      </c>
      <c r="AW134" s="494"/>
      <c r="AX134" s="548">
        <f>T134</f>
        <v>8000</v>
      </c>
      <c r="AY134" s="82">
        <f>T134-AX134</f>
        <v>0</v>
      </c>
      <c r="BE134" s="510">
        <v>1</v>
      </c>
      <c r="BF134" s="510">
        <f>AQ134</f>
        <v>100</v>
      </c>
      <c r="BG134" s="488">
        <f t="shared" ref="BG134" si="127">AL134-AQ134</f>
        <v>0</v>
      </c>
    </row>
    <row r="135" spans="1:59" s="82" customFormat="1" ht="59.25" customHeight="1">
      <c r="A135" s="617" t="s">
        <v>77</v>
      </c>
      <c r="B135" s="618" t="s">
        <v>425</v>
      </c>
      <c r="C135" s="612" t="s">
        <v>398</v>
      </c>
      <c r="D135" s="612"/>
      <c r="E135" s="566" t="s">
        <v>991</v>
      </c>
      <c r="F135" s="612"/>
      <c r="G135" s="612"/>
      <c r="H135" s="494" t="s">
        <v>426</v>
      </c>
      <c r="I135" s="494"/>
      <c r="J135" s="563"/>
      <c r="K135" s="496">
        <v>11000</v>
      </c>
      <c r="L135" s="496">
        <v>6341</v>
      </c>
      <c r="M135" s="496"/>
      <c r="N135" s="496"/>
      <c r="O135" s="496"/>
      <c r="P135" s="496"/>
      <c r="Q135" s="496">
        <f t="shared" ref="Q135" si="128">M135+X135</f>
        <v>0</v>
      </c>
      <c r="R135" s="496">
        <f t="shared" ref="R135" si="129">N135+Y135</f>
        <v>0</v>
      </c>
      <c r="S135" s="520">
        <f>11696-2280</f>
        <v>9416</v>
      </c>
      <c r="T135" s="520">
        <f>S135</f>
        <v>9416</v>
      </c>
      <c r="U135" s="496"/>
      <c r="V135" s="496"/>
      <c r="W135" s="496"/>
      <c r="X135" s="496"/>
      <c r="Y135" s="496"/>
      <c r="Z135" s="496"/>
      <c r="AA135" s="496"/>
      <c r="AB135" s="496"/>
      <c r="AC135" s="496"/>
      <c r="AD135" s="496"/>
      <c r="AE135" s="496"/>
      <c r="AF135" s="496"/>
      <c r="AG135" s="496"/>
      <c r="AH135" s="496">
        <f t="shared" ref="AH135" si="130">X135+AB135</f>
        <v>0</v>
      </c>
      <c r="AI135" s="496">
        <f t="shared" ref="AI135" si="131">Y135+AC135</f>
        <v>0</v>
      </c>
      <c r="AJ135" s="496"/>
      <c r="AK135" s="496"/>
      <c r="AL135" s="496">
        <f>AM135</f>
        <v>100</v>
      </c>
      <c r="AM135" s="496">
        <f>AQ135</f>
        <v>100</v>
      </c>
      <c r="AN135" s="496">
        <f t="shared" ref="AN135" si="132">AR135</f>
        <v>0</v>
      </c>
      <c r="AO135" s="496"/>
      <c r="AP135" s="496">
        <f>AQ135</f>
        <v>100</v>
      </c>
      <c r="AQ135" s="496">
        <v>100</v>
      </c>
      <c r="AR135" s="496"/>
      <c r="AS135" s="496"/>
      <c r="AT135" s="536"/>
      <c r="AU135" s="484">
        <f t="shared" si="125"/>
        <v>0</v>
      </c>
      <c r="AV135" s="484">
        <f t="shared" si="126"/>
        <v>0</v>
      </c>
      <c r="AW135" s="536"/>
      <c r="AX135" s="548"/>
      <c r="BG135" s="488">
        <f t="shared" ref="BG135" si="133">AL135-AQ135</f>
        <v>0</v>
      </c>
    </row>
    <row r="136" spans="1:59" s="82" customFormat="1" ht="59.25" customHeight="1">
      <c r="A136" s="617" t="s">
        <v>133</v>
      </c>
      <c r="B136" s="565" t="s">
        <v>421</v>
      </c>
      <c r="C136" s="612" t="s">
        <v>398</v>
      </c>
      <c r="D136" s="612"/>
      <c r="E136" s="566" t="s">
        <v>991</v>
      </c>
      <c r="F136" s="612"/>
      <c r="G136" s="612"/>
      <c r="H136" s="494"/>
      <c r="I136" s="494"/>
      <c r="J136" s="563"/>
      <c r="K136" s="496"/>
      <c r="L136" s="496"/>
      <c r="M136" s="496"/>
      <c r="N136" s="496"/>
      <c r="O136" s="496"/>
      <c r="P136" s="496"/>
      <c r="Q136" s="496">
        <f t="shared" ref="Q136:R137" si="134">M136+X136</f>
        <v>0</v>
      </c>
      <c r="R136" s="496">
        <f t="shared" si="134"/>
        <v>0</v>
      </c>
      <c r="S136" s="496">
        <v>3000</v>
      </c>
      <c r="T136" s="496">
        <v>3000</v>
      </c>
      <c r="U136" s="496"/>
      <c r="V136" s="496"/>
      <c r="W136" s="496"/>
      <c r="X136" s="496"/>
      <c r="Y136" s="496"/>
      <c r="Z136" s="496"/>
      <c r="AA136" s="496"/>
      <c r="AB136" s="496"/>
      <c r="AC136" s="496"/>
      <c r="AD136" s="496"/>
      <c r="AE136" s="496"/>
      <c r="AF136" s="496"/>
      <c r="AG136" s="496"/>
      <c r="AH136" s="496">
        <f t="shared" ref="AH136:AI136" si="135">X136+AB136</f>
        <v>0</v>
      </c>
      <c r="AI136" s="496">
        <f t="shared" si="135"/>
        <v>0</v>
      </c>
      <c r="AJ136" s="496"/>
      <c r="AK136" s="496"/>
      <c r="AL136" s="496">
        <f t="shared" ref="AL136:AO136" si="136">AP136</f>
        <v>68</v>
      </c>
      <c r="AM136" s="496">
        <f t="shared" si="136"/>
        <v>68</v>
      </c>
      <c r="AN136" s="496">
        <f t="shared" si="136"/>
        <v>0</v>
      </c>
      <c r="AO136" s="496">
        <f t="shared" si="136"/>
        <v>0</v>
      </c>
      <c r="AP136" s="496">
        <f>AQ136</f>
        <v>68</v>
      </c>
      <c r="AQ136" s="496">
        <v>68</v>
      </c>
      <c r="AR136" s="496"/>
      <c r="AS136" s="496"/>
      <c r="AT136" s="536"/>
      <c r="AU136" s="484">
        <f t="shared" si="125"/>
        <v>0</v>
      </c>
      <c r="AV136" s="484">
        <f t="shared" si="126"/>
        <v>0</v>
      </c>
      <c r="AW136" s="536"/>
      <c r="AX136" s="548"/>
      <c r="BE136" s="510"/>
      <c r="BG136" s="488">
        <f t="shared" si="97"/>
        <v>0</v>
      </c>
    </row>
    <row r="137" spans="1:59" s="82" customFormat="1" ht="59.25" customHeight="1">
      <c r="A137" s="582">
        <v>6</v>
      </c>
      <c r="B137" s="596" t="s">
        <v>424</v>
      </c>
      <c r="C137" s="612" t="s">
        <v>398</v>
      </c>
      <c r="D137" s="612"/>
      <c r="E137" s="566" t="s">
        <v>991</v>
      </c>
      <c r="F137" s="612"/>
      <c r="G137" s="612"/>
      <c r="H137" s="494"/>
      <c r="I137" s="494"/>
      <c r="J137" s="563"/>
      <c r="K137" s="496"/>
      <c r="L137" s="496"/>
      <c r="M137" s="496"/>
      <c r="N137" s="496"/>
      <c r="O137" s="496"/>
      <c r="P137" s="496"/>
      <c r="Q137" s="496">
        <f t="shared" si="134"/>
        <v>0</v>
      </c>
      <c r="R137" s="496">
        <f t="shared" si="134"/>
        <v>0</v>
      </c>
      <c r="S137" s="496">
        <v>5000</v>
      </c>
      <c r="T137" s="496">
        <v>5000</v>
      </c>
      <c r="U137" s="496"/>
      <c r="V137" s="496"/>
      <c r="W137" s="496"/>
      <c r="X137" s="496"/>
      <c r="Y137" s="496"/>
      <c r="Z137" s="496"/>
      <c r="AA137" s="496"/>
      <c r="AB137" s="496"/>
      <c r="AC137" s="496"/>
      <c r="AD137" s="496"/>
      <c r="AE137" s="496"/>
      <c r="AF137" s="496"/>
      <c r="AG137" s="496"/>
      <c r="AH137" s="496">
        <f>X137+AB137</f>
        <v>0</v>
      </c>
      <c r="AI137" s="496">
        <f>Y137+AC137</f>
        <v>0</v>
      </c>
      <c r="AJ137" s="496"/>
      <c r="AK137" s="496"/>
      <c r="AL137" s="496">
        <f>AP137</f>
        <v>60</v>
      </c>
      <c r="AM137" s="496">
        <f>AQ137</f>
        <v>60</v>
      </c>
      <c r="AN137" s="496">
        <f>AR137</f>
        <v>0</v>
      </c>
      <c r="AO137" s="496">
        <f>AS137</f>
        <v>0</v>
      </c>
      <c r="AP137" s="496">
        <f>AQ137</f>
        <v>60</v>
      </c>
      <c r="AQ137" s="496">
        <v>60</v>
      </c>
      <c r="AR137" s="496"/>
      <c r="AS137" s="496"/>
      <c r="AT137" s="536"/>
      <c r="AU137" s="484">
        <f t="shared" si="125"/>
        <v>0</v>
      </c>
      <c r="AV137" s="484">
        <f t="shared" si="126"/>
        <v>0</v>
      </c>
      <c r="AW137" s="536"/>
      <c r="AX137" s="548">
        <f>T137</f>
        <v>5000</v>
      </c>
      <c r="AY137" s="82">
        <f>T137-AX137</f>
        <v>0</v>
      </c>
      <c r="BB137" s="536"/>
      <c r="BE137" s="82">
        <v>1</v>
      </c>
      <c r="BF137" s="82">
        <f>AQ137</f>
        <v>60</v>
      </c>
      <c r="BG137" s="488">
        <f t="shared" si="97"/>
        <v>0</v>
      </c>
    </row>
    <row r="138" spans="1:59" s="80" customFormat="1" ht="59.25" customHeight="1">
      <c r="A138" s="538"/>
      <c r="B138" s="539" t="s">
        <v>331</v>
      </c>
      <c r="C138" s="526"/>
      <c r="D138" s="526"/>
      <c r="E138" s="526"/>
      <c r="F138" s="526"/>
      <c r="G138" s="526"/>
      <c r="H138" s="540"/>
      <c r="I138" s="526"/>
      <c r="J138" s="527"/>
      <c r="K138" s="482"/>
      <c r="L138" s="482"/>
      <c r="M138" s="482"/>
      <c r="N138" s="482"/>
      <c r="O138" s="482"/>
      <c r="P138" s="482"/>
      <c r="Q138" s="496"/>
      <c r="R138" s="496"/>
      <c r="S138" s="482"/>
      <c r="T138" s="482"/>
      <c r="U138" s="482"/>
      <c r="V138" s="482"/>
      <c r="W138" s="482"/>
      <c r="X138" s="482"/>
      <c r="Y138" s="482"/>
      <c r="Z138" s="482"/>
      <c r="AA138" s="482"/>
      <c r="AB138" s="482"/>
      <c r="AC138" s="482">
        <v>23278</v>
      </c>
      <c r="AD138" s="482"/>
      <c r="AE138" s="482"/>
      <c r="AF138" s="482"/>
      <c r="AG138" s="482"/>
      <c r="AH138" s="482"/>
      <c r="AI138" s="482"/>
      <c r="AJ138" s="482"/>
      <c r="AK138" s="482"/>
      <c r="AL138" s="482"/>
      <c r="AM138" s="482"/>
      <c r="AN138" s="482"/>
      <c r="AO138" s="482"/>
      <c r="AP138" s="482"/>
      <c r="AQ138" s="482">
        <v>24406</v>
      </c>
      <c r="AR138" s="482"/>
      <c r="AS138" s="482"/>
      <c r="AT138" s="526">
        <f>AQ138-AQ139</f>
        <v>0</v>
      </c>
      <c r="AU138" s="484">
        <f t="shared" si="110"/>
        <v>-24406</v>
      </c>
      <c r="AV138" s="484">
        <f t="shared" si="109"/>
        <v>0</v>
      </c>
      <c r="AW138" s="541"/>
      <c r="AX138" s="542"/>
      <c r="BG138" s="488">
        <f t="shared" ref="BG138:BG172" si="137">AL138-AQ138</f>
        <v>-24406</v>
      </c>
    </row>
    <row r="139" spans="1:59" s="81" customFormat="1" ht="59.25" customHeight="1">
      <c r="A139" s="533" t="s">
        <v>136</v>
      </c>
      <c r="B139" s="534" t="s">
        <v>427</v>
      </c>
      <c r="C139" s="480"/>
      <c r="D139" s="480"/>
      <c r="E139" s="480"/>
      <c r="F139" s="480"/>
      <c r="G139" s="480"/>
      <c r="H139" s="540" t="e">
        <f>#REF!+H147</f>
        <v>#REF!</v>
      </c>
      <c r="I139" s="480"/>
      <c r="J139" s="481"/>
      <c r="K139" s="482">
        <f>K140+K146+K155+K160</f>
        <v>199134</v>
      </c>
      <c r="L139" s="482">
        <f t="shared" ref="L139:AI139" si="138">L140+L146+L155+L160</f>
        <v>97405</v>
      </c>
      <c r="M139" s="482">
        <f t="shared" si="138"/>
        <v>36388</v>
      </c>
      <c r="N139" s="482">
        <f t="shared" si="138"/>
        <v>3542</v>
      </c>
      <c r="O139" s="482">
        <f t="shared" si="138"/>
        <v>36388</v>
      </c>
      <c r="P139" s="482">
        <f t="shared" si="138"/>
        <v>58184</v>
      </c>
      <c r="Q139" s="482">
        <f t="shared" si="138"/>
        <v>42933.1</v>
      </c>
      <c r="R139" s="482">
        <f t="shared" si="138"/>
        <v>10087.1</v>
      </c>
      <c r="S139" s="482">
        <f t="shared" si="138"/>
        <v>159324</v>
      </c>
      <c r="T139" s="482">
        <f t="shared" si="138"/>
        <v>98824</v>
      </c>
      <c r="U139" s="482">
        <f t="shared" si="138"/>
        <v>0</v>
      </c>
      <c r="V139" s="482">
        <f t="shared" si="138"/>
        <v>0</v>
      </c>
      <c r="W139" s="482">
        <f t="shared" ref="W139" si="139">W140+W146+W155+W160</f>
        <v>69181</v>
      </c>
      <c r="X139" s="482">
        <f t="shared" si="138"/>
        <v>6545.1</v>
      </c>
      <c r="Y139" s="482">
        <f t="shared" si="138"/>
        <v>6545.1</v>
      </c>
      <c r="Z139" s="482">
        <f t="shared" si="138"/>
        <v>0</v>
      </c>
      <c r="AA139" s="482">
        <f t="shared" si="138"/>
        <v>0</v>
      </c>
      <c r="AB139" s="482">
        <f t="shared" si="138"/>
        <v>29893</v>
      </c>
      <c r="AC139" s="482">
        <f t="shared" si="138"/>
        <v>19288</v>
      </c>
      <c r="AD139" s="482">
        <f t="shared" si="138"/>
        <v>0</v>
      </c>
      <c r="AE139" s="482">
        <f t="shared" si="138"/>
        <v>0</v>
      </c>
      <c r="AF139" s="482">
        <f t="shared" si="138"/>
        <v>6064.1859999999997</v>
      </c>
      <c r="AG139" s="482">
        <f t="shared" si="138"/>
        <v>11637.627</v>
      </c>
      <c r="AH139" s="482">
        <f t="shared" si="138"/>
        <v>36438.1</v>
      </c>
      <c r="AI139" s="482">
        <f t="shared" si="138"/>
        <v>25833.1</v>
      </c>
      <c r="AJ139" s="482"/>
      <c r="AK139" s="482"/>
      <c r="AL139" s="482">
        <f t="shared" ref="AL139:AS139" si="140">AL140+AL146+AL155+AL160</f>
        <v>24466.9</v>
      </c>
      <c r="AM139" s="482">
        <f t="shared" si="140"/>
        <v>24466.9</v>
      </c>
      <c r="AN139" s="482">
        <f t="shared" si="140"/>
        <v>0</v>
      </c>
      <c r="AO139" s="482">
        <f t="shared" si="140"/>
        <v>0</v>
      </c>
      <c r="AP139" s="482">
        <f t="shared" si="140"/>
        <v>24406</v>
      </c>
      <c r="AQ139" s="482">
        <f>AQ140+AQ146+AQ155+AQ160</f>
        <v>24406</v>
      </c>
      <c r="AR139" s="482">
        <f t="shared" si="140"/>
        <v>0</v>
      </c>
      <c r="AS139" s="482">
        <f t="shared" si="140"/>
        <v>0</v>
      </c>
      <c r="AT139" s="551"/>
      <c r="AU139" s="484">
        <f t="shared" si="110"/>
        <v>0</v>
      </c>
      <c r="AV139" s="484">
        <f t="shared" si="109"/>
        <v>0</v>
      </c>
      <c r="AW139" s="551"/>
      <c r="AX139" s="537"/>
      <c r="BG139" s="488">
        <f t="shared" si="137"/>
        <v>60.900000000001455</v>
      </c>
    </row>
    <row r="140" spans="1:59" s="81" customFormat="1" ht="59.25" customHeight="1">
      <c r="A140" s="478" t="s">
        <v>33</v>
      </c>
      <c r="B140" s="539" t="s">
        <v>287</v>
      </c>
      <c r="C140" s="533"/>
      <c r="D140" s="533"/>
      <c r="E140" s="533"/>
      <c r="F140" s="533"/>
      <c r="G140" s="533"/>
      <c r="H140" s="480"/>
      <c r="I140" s="480"/>
      <c r="J140" s="481"/>
      <c r="K140" s="482">
        <f>K141+K143</f>
        <v>89800</v>
      </c>
      <c r="L140" s="482">
        <f t="shared" ref="L140:AS140" si="141">L141+L143</f>
        <v>26280</v>
      </c>
      <c r="M140" s="482">
        <f t="shared" si="141"/>
        <v>36388</v>
      </c>
      <c r="N140" s="482">
        <f t="shared" si="141"/>
        <v>3542</v>
      </c>
      <c r="O140" s="482">
        <f t="shared" si="141"/>
        <v>36388</v>
      </c>
      <c r="P140" s="482">
        <f t="shared" si="141"/>
        <v>11000</v>
      </c>
      <c r="Q140" s="482">
        <f t="shared" si="141"/>
        <v>42427</v>
      </c>
      <c r="R140" s="482">
        <f t="shared" si="141"/>
        <v>9581</v>
      </c>
      <c r="S140" s="482">
        <f t="shared" si="141"/>
        <v>49800</v>
      </c>
      <c r="T140" s="482">
        <f t="shared" si="141"/>
        <v>21800</v>
      </c>
      <c r="U140" s="482">
        <f t="shared" si="141"/>
        <v>0</v>
      </c>
      <c r="V140" s="482">
        <f t="shared" si="141"/>
        <v>0</v>
      </c>
      <c r="W140" s="482">
        <f t="shared" si="141"/>
        <v>49526</v>
      </c>
      <c r="X140" s="482">
        <f t="shared" si="141"/>
        <v>6039</v>
      </c>
      <c r="Y140" s="482">
        <f t="shared" si="141"/>
        <v>6039</v>
      </c>
      <c r="Z140" s="482">
        <f t="shared" si="141"/>
        <v>0</v>
      </c>
      <c r="AA140" s="482">
        <f t="shared" si="141"/>
        <v>0</v>
      </c>
      <c r="AB140" s="482">
        <f t="shared" si="141"/>
        <v>10400</v>
      </c>
      <c r="AC140" s="482">
        <f t="shared" si="141"/>
        <v>7138</v>
      </c>
      <c r="AD140" s="482">
        <f t="shared" si="141"/>
        <v>0</v>
      </c>
      <c r="AE140" s="482">
        <f t="shared" si="141"/>
        <v>0</v>
      </c>
      <c r="AF140" s="482">
        <f t="shared" si="141"/>
        <v>5738</v>
      </c>
      <c r="AG140" s="482">
        <f t="shared" si="141"/>
        <v>5738</v>
      </c>
      <c r="AH140" s="482">
        <f t="shared" si="141"/>
        <v>16439</v>
      </c>
      <c r="AI140" s="482">
        <f t="shared" si="141"/>
        <v>13177</v>
      </c>
      <c r="AJ140" s="482">
        <f t="shared" si="141"/>
        <v>0</v>
      </c>
      <c r="AK140" s="482">
        <f t="shared" si="141"/>
        <v>0</v>
      </c>
      <c r="AL140" s="482">
        <f t="shared" si="141"/>
        <v>6861</v>
      </c>
      <c r="AM140" s="482">
        <f t="shared" si="141"/>
        <v>6861</v>
      </c>
      <c r="AN140" s="482">
        <f t="shared" si="141"/>
        <v>0</v>
      </c>
      <c r="AO140" s="482">
        <f t="shared" si="141"/>
        <v>0</v>
      </c>
      <c r="AP140" s="482">
        <f t="shared" si="141"/>
        <v>6800</v>
      </c>
      <c r="AQ140" s="482">
        <f>AQ141+AQ143</f>
        <v>6800</v>
      </c>
      <c r="AR140" s="482">
        <f t="shared" si="141"/>
        <v>0</v>
      </c>
      <c r="AS140" s="482">
        <f t="shared" si="141"/>
        <v>0</v>
      </c>
      <c r="AT140" s="551"/>
      <c r="AU140" s="484">
        <f t="shared" si="110"/>
        <v>0</v>
      </c>
      <c r="AV140" s="489"/>
      <c r="AW140" s="551"/>
      <c r="AX140" s="537"/>
      <c r="BG140" s="488">
        <f t="shared" si="137"/>
        <v>61</v>
      </c>
    </row>
    <row r="141" spans="1:59" s="81" customFormat="1" ht="59.25" customHeight="1">
      <c r="A141" s="556" t="s">
        <v>35</v>
      </c>
      <c r="B141" s="557" t="s">
        <v>43</v>
      </c>
      <c r="C141" s="533"/>
      <c r="D141" s="533"/>
      <c r="E141" s="533"/>
      <c r="F141" s="533"/>
      <c r="G141" s="533"/>
      <c r="H141" s="480"/>
      <c r="I141" s="480"/>
      <c r="J141" s="481"/>
      <c r="K141" s="482">
        <f>K142</f>
        <v>87000</v>
      </c>
      <c r="L141" s="482">
        <f t="shared" ref="L141:AS141" si="142">L142</f>
        <v>23480</v>
      </c>
      <c r="M141" s="482">
        <f t="shared" si="142"/>
        <v>36388</v>
      </c>
      <c r="N141" s="482">
        <f t="shared" si="142"/>
        <v>3542</v>
      </c>
      <c r="O141" s="482">
        <f t="shared" si="142"/>
        <v>36388</v>
      </c>
      <c r="P141" s="482">
        <f t="shared" si="142"/>
        <v>11000</v>
      </c>
      <c r="Q141" s="482">
        <f t="shared" si="142"/>
        <v>42388</v>
      </c>
      <c r="R141" s="482">
        <f t="shared" si="142"/>
        <v>9542</v>
      </c>
      <c r="S141" s="482">
        <f t="shared" si="142"/>
        <v>47000</v>
      </c>
      <c r="T141" s="482">
        <f t="shared" si="142"/>
        <v>19000</v>
      </c>
      <c r="U141" s="482">
        <f t="shared" si="142"/>
        <v>0</v>
      </c>
      <c r="V141" s="482">
        <f t="shared" si="142"/>
        <v>0</v>
      </c>
      <c r="W141" s="482">
        <f t="shared" si="142"/>
        <v>48126</v>
      </c>
      <c r="X141" s="482">
        <f t="shared" si="142"/>
        <v>6000</v>
      </c>
      <c r="Y141" s="482">
        <f t="shared" si="142"/>
        <v>6000</v>
      </c>
      <c r="Z141" s="482">
        <f t="shared" si="142"/>
        <v>0</v>
      </c>
      <c r="AA141" s="482">
        <f t="shared" si="142"/>
        <v>0</v>
      </c>
      <c r="AB141" s="482">
        <f t="shared" si="142"/>
        <v>9000</v>
      </c>
      <c r="AC141" s="482">
        <f t="shared" si="142"/>
        <v>5738</v>
      </c>
      <c r="AD141" s="482">
        <f t="shared" si="142"/>
        <v>0</v>
      </c>
      <c r="AE141" s="482">
        <f t="shared" si="142"/>
        <v>0</v>
      </c>
      <c r="AF141" s="482">
        <f t="shared" si="142"/>
        <v>5738</v>
      </c>
      <c r="AG141" s="482">
        <f t="shared" si="142"/>
        <v>5738</v>
      </c>
      <c r="AH141" s="482">
        <f t="shared" si="142"/>
        <v>15000</v>
      </c>
      <c r="AI141" s="482">
        <f t="shared" si="142"/>
        <v>11738</v>
      </c>
      <c r="AJ141" s="482">
        <f t="shared" si="142"/>
        <v>0</v>
      </c>
      <c r="AK141" s="482">
        <f t="shared" si="142"/>
        <v>0</v>
      </c>
      <c r="AL141" s="482">
        <f t="shared" si="142"/>
        <v>5500</v>
      </c>
      <c r="AM141" s="482">
        <f t="shared" si="142"/>
        <v>5500</v>
      </c>
      <c r="AN141" s="482">
        <f t="shared" si="142"/>
        <v>0</v>
      </c>
      <c r="AO141" s="482">
        <f t="shared" si="142"/>
        <v>0</v>
      </c>
      <c r="AP141" s="482">
        <f t="shared" si="142"/>
        <v>5500</v>
      </c>
      <c r="AQ141" s="482">
        <f t="shared" si="142"/>
        <v>5500</v>
      </c>
      <c r="AR141" s="482">
        <f t="shared" si="142"/>
        <v>0</v>
      </c>
      <c r="AS141" s="482">
        <f t="shared" si="142"/>
        <v>0</v>
      </c>
      <c r="AT141" s="551"/>
      <c r="AU141" s="484">
        <f>AP141-AQ141</f>
        <v>0</v>
      </c>
      <c r="AV141" s="489"/>
      <c r="AW141" s="551"/>
      <c r="AX141" s="537"/>
      <c r="BG141" s="488">
        <f t="shared" si="137"/>
        <v>0</v>
      </c>
    </row>
    <row r="142" spans="1:59" s="82" customFormat="1" ht="59.25" customHeight="1">
      <c r="A142" s="559" t="s">
        <v>37</v>
      </c>
      <c r="B142" s="560" t="s">
        <v>429</v>
      </c>
      <c r="C142" s="582" t="s">
        <v>428</v>
      </c>
      <c r="D142" s="582"/>
      <c r="E142" s="566" t="s">
        <v>992</v>
      </c>
      <c r="F142" s="582"/>
      <c r="G142" s="582"/>
      <c r="H142" s="494"/>
      <c r="I142" s="494"/>
      <c r="J142" s="495" t="s">
        <v>430</v>
      </c>
      <c r="K142" s="496">
        <v>87000</v>
      </c>
      <c r="L142" s="496">
        <v>23480</v>
      </c>
      <c r="M142" s="496">
        <v>36388</v>
      </c>
      <c r="N142" s="496">
        <v>3542</v>
      </c>
      <c r="O142" s="496">
        <v>36388</v>
      </c>
      <c r="P142" s="496">
        <v>11000</v>
      </c>
      <c r="Q142" s="496">
        <f>M142+X142</f>
        <v>42388</v>
      </c>
      <c r="R142" s="496">
        <f>N142+Y142</f>
        <v>9542</v>
      </c>
      <c r="S142" s="496">
        <v>47000</v>
      </c>
      <c r="T142" s="496">
        <v>19000</v>
      </c>
      <c r="U142" s="496"/>
      <c r="V142" s="496"/>
      <c r="W142" s="496">
        <f>36388+6000+5738</f>
        <v>48126</v>
      </c>
      <c r="X142" s="496">
        <v>6000</v>
      </c>
      <c r="Y142" s="496">
        <v>6000</v>
      </c>
      <c r="Z142" s="496"/>
      <c r="AA142" s="496"/>
      <c r="AB142" s="496">
        <v>9000</v>
      </c>
      <c r="AC142" s="496">
        <f>4000+1738</f>
        <v>5738</v>
      </c>
      <c r="AD142" s="496"/>
      <c r="AE142" s="496"/>
      <c r="AF142" s="547">
        <v>5738</v>
      </c>
      <c r="AG142" s="547">
        <v>5738</v>
      </c>
      <c r="AH142" s="496">
        <f>X142+AB142</f>
        <v>15000</v>
      </c>
      <c r="AI142" s="496">
        <f>Y142+AC142</f>
        <v>11738</v>
      </c>
      <c r="AJ142" s="496"/>
      <c r="AK142" s="496"/>
      <c r="AL142" s="496">
        <f>AP142</f>
        <v>5500</v>
      </c>
      <c r="AM142" s="496">
        <f>AQ142</f>
        <v>5500</v>
      </c>
      <c r="AN142" s="496">
        <f>AR142</f>
        <v>0</v>
      </c>
      <c r="AO142" s="496">
        <f>AS142</f>
        <v>0</v>
      </c>
      <c r="AP142" s="520">
        <f>AQ142</f>
        <v>5500</v>
      </c>
      <c r="AQ142" s="520">
        <v>5500</v>
      </c>
      <c r="AR142" s="496"/>
      <c r="AS142" s="496"/>
      <c r="AT142" s="536" t="s">
        <v>1027</v>
      </c>
      <c r="AU142" s="484">
        <f>AP142-AQ142</f>
        <v>0</v>
      </c>
      <c r="AV142" s="484">
        <f>V142-AA142</f>
        <v>0</v>
      </c>
      <c r="AW142" s="536"/>
      <c r="AX142" s="548"/>
      <c r="BG142" s="488">
        <f t="shared" si="137"/>
        <v>0</v>
      </c>
    </row>
    <row r="143" spans="1:59" s="81" customFormat="1" ht="59.25" customHeight="1">
      <c r="A143" s="556" t="s">
        <v>44</v>
      </c>
      <c r="B143" s="557" t="s">
        <v>45</v>
      </c>
      <c r="C143" s="533"/>
      <c r="D143" s="533"/>
      <c r="E143" s="533"/>
      <c r="F143" s="533"/>
      <c r="G143" s="533"/>
      <c r="H143" s="480"/>
      <c r="I143" s="480"/>
      <c r="J143" s="481"/>
      <c r="K143" s="482">
        <f>K144</f>
        <v>2800</v>
      </c>
      <c r="L143" s="482">
        <f t="shared" ref="L143:AS143" si="143">L144</f>
        <v>2800</v>
      </c>
      <c r="M143" s="482">
        <f t="shared" si="143"/>
        <v>0</v>
      </c>
      <c r="N143" s="482">
        <f t="shared" si="143"/>
        <v>0</v>
      </c>
      <c r="O143" s="482">
        <f t="shared" si="143"/>
        <v>0</v>
      </c>
      <c r="P143" s="482">
        <f t="shared" si="143"/>
        <v>0</v>
      </c>
      <c r="Q143" s="482">
        <f t="shared" si="143"/>
        <v>39</v>
      </c>
      <c r="R143" s="482">
        <f t="shared" si="143"/>
        <v>39</v>
      </c>
      <c r="S143" s="482">
        <f t="shared" si="143"/>
        <v>2800</v>
      </c>
      <c r="T143" s="482">
        <f t="shared" si="143"/>
        <v>2800</v>
      </c>
      <c r="U143" s="482">
        <f t="shared" si="143"/>
        <v>0</v>
      </c>
      <c r="V143" s="482">
        <f t="shared" si="143"/>
        <v>0</v>
      </c>
      <c r="W143" s="482">
        <f t="shared" si="143"/>
        <v>1400</v>
      </c>
      <c r="X143" s="482">
        <f t="shared" si="143"/>
        <v>39</v>
      </c>
      <c r="Y143" s="482">
        <f t="shared" si="143"/>
        <v>39</v>
      </c>
      <c r="Z143" s="482">
        <f t="shared" si="143"/>
        <v>0</v>
      </c>
      <c r="AA143" s="482">
        <f t="shared" si="143"/>
        <v>0</v>
      </c>
      <c r="AB143" s="482">
        <f t="shared" si="143"/>
        <v>1400</v>
      </c>
      <c r="AC143" s="482">
        <f t="shared" si="143"/>
        <v>1400</v>
      </c>
      <c r="AD143" s="482">
        <f t="shared" si="143"/>
        <v>0</v>
      </c>
      <c r="AE143" s="482">
        <f t="shared" si="143"/>
        <v>0</v>
      </c>
      <c r="AF143" s="482">
        <f t="shared" si="143"/>
        <v>0</v>
      </c>
      <c r="AG143" s="482">
        <f t="shared" si="143"/>
        <v>0</v>
      </c>
      <c r="AH143" s="482">
        <f t="shared" si="143"/>
        <v>1439</v>
      </c>
      <c r="AI143" s="482">
        <f t="shared" si="143"/>
        <v>1439</v>
      </c>
      <c r="AJ143" s="482"/>
      <c r="AK143" s="482"/>
      <c r="AL143" s="482">
        <f t="shared" si="143"/>
        <v>1361</v>
      </c>
      <c r="AM143" s="482">
        <f t="shared" si="143"/>
        <v>1361</v>
      </c>
      <c r="AN143" s="482">
        <f t="shared" si="143"/>
        <v>0</v>
      </c>
      <c r="AO143" s="482">
        <f t="shared" si="143"/>
        <v>0</v>
      </c>
      <c r="AP143" s="482">
        <f t="shared" si="143"/>
        <v>1300</v>
      </c>
      <c r="AQ143" s="482">
        <f t="shared" si="143"/>
        <v>1300</v>
      </c>
      <c r="AR143" s="482">
        <f t="shared" si="143"/>
        <v>0</v>
      </c>
      <c r="AS143" s="482">
        <f t="shared" si="143"/>
        <v>0</v>
      </c>
      <c r="AT143" s="551"/>
      <c r="AU143" s="484">
        <f t="shared" si="110"/>
        <v>0</v>
      </c>
      <c r="AV143" s="489"/>
      <c r="AW143" s="551"/>
      <c r="AX143" s="537"/>
      <c r="BG143" s="488">
        <f t="shared" si="137"/>
        <v>61</v>
      </c>
    </row>
    <row r="144" spans="1:59" s="510" customFormat="1" ht="59.25" customHeight="1">
      <c r="A144" s="484">
        <v>1</v>
      </c>
      <c r="B144" s="565" t="s">
        <v>432</v>
      </c>
      <c r="C144" s="582" t="s">
        <v>428</v>
      </c>
      <c r="D144" s="582"/>
      <c r="E144" s="582" t="s">
        <v>990</v>
      </c>
      <c r="F144" s="582"/>
      <c r="G144" s="582"/>
      <c r="H144" s="503"/>
      <c r="I144" s="494" t="s">
        <v>944</v>
      </c>
      <c r="J144" s="495" t="s">
        <v>433</v>
      </c>
      <c r="K144" s="520">
        <v>2800</v>
      </c>
      <c r="L144" s="520">
        <v>2800</v>
      </c>
      <c r="M144" s="496"/>
      <c r="N144" s="496"/>
      <c r="O144" s="496"/>
      <c r="P144" s="496"/>
      <c r="Q144" s="496">
        <f>M144+X144</f>
        <v>39</v>
      </c>
      <c r="R144" s="496">
        <f>N144+Y144</f>
        <v>39</v>
      </c>
      <c r="S144" s="496">
        <f>T144</f>
        <v>2800</v>
      </c>
      <c r="T144" s="496">
        <v>2800</v>
      </c>
      <c r="U144" s="496"/>
      <c r="V144" s="496"/>
      <c r="W144" s="496">
        <v>1400</v>
      </c>
      <c r="X144" s="496">
        <v>39</v>
      </c>
      <c r="Y144" s="496">
        <v>39</v>
      </c>
      <c r="Z144" s="496"/>
      <c r="AA144" s="496"/>
      <c r="AB144" s="496">
        <f>AC144</f>
        <v>1400</v>
      </c>
      <c r="AC144" s="496">
        <v>1400</v>
      </c>
      <c r="AD144" s="496"/>
      <c r="AE144" s="496"/>
      <c r="AF144" s="496"/>
      <c r="AG144" s="496"/>
      <c r="AH144" s="496">
        <f>X144+AB144</f>
        <v>1439</v>
      </c>
      <c r="AI144" s="496">
        <f>Y144+AC144</f>
        <v>1439</v>
      </c>
      <c r="AJ144" s="496"/>
      <c r="AK144" s="496"/>
      <c r="AL144" s="496">
        <f>AM144</f>
        <v>1361</v>
      </c>
      <c r="AM144" s="496">
        <f>T144-AI144</f>
        <v>1361</v>
      </c>
      <c r="AN144" s="496">
        <f>AR144</f>
        <v>0</v>
      </c>
      <c r="AO144" s="496">
        <f>AS144</f>
        <v>0</v>
      </c>
      <c r="AP144" s="496">
        <f>AQ144</f>
        <v>1300</v>
      </c>
      <c r="AQ144" s="496">
        <v>1300</v>
      </c>
      <c r="AR144" s="496"/>
      <c r="AS144" s="496"/>
      <c r="AT144" s="536" t="s">
        <v>1078</v>
      </c>
      <c r="AU144" s="484">
        <f t="shared" si="110"/>
        <v>0</v>
      </c>
      <c r="AV144" s="484">
        <f>V144-AA144</f>
        <v>0</v>
      </c>
      <c r="AW144" s="562"/>
      <c r="AX144" s="572"/>
      <c r="BG144" s="488">
        <f t="shared" si="137"/>
        <v>61</v>
      </c>
    </row>
    <row r="145" spans="1:59" s="82" customFormat="1" ht="59.25" hidden="1" customHeight="1">
      <c r="A145" s="556"/>
      <c r="B145" s="557"/>
      <c r="C145" s="582"/>
      <c r="D145" s="582"/>
      <c r="E145" s="582"/>
      <c r="F145" s="582"/>
      <c r="G145" s="582"/>
      <c r="H145" s="494"/>
      <c r="I145" s="494"/>
      <c r="J145" s="495"/>
      <c r="K145" s="496"/>
      <c r="L145" s="496"/>
      <c r="M145" s="496"/>
      <c r="N145" s="496"/>
      <c r="O145" s="496"/>
      <c r="P145" s="496"/>
      <c r="Q145" s="496"/>
      <c r="R145" s="496"/>
      <c r="S145" s="496"/>
      <c r="T145" s="496"/>
      <c r="U145" s="496"/>
      <c r="V145" s="496"/>
      <c r="W145" s="496"/>
      <c r="X145" s="496"/>
      <c r="Y145" s="496"/>
      <c r="Z145" s="496"/>
      <c r="AA145" s="496"/>
      <c r="AB145" s="496"/>
      <c r="AC145" s="496"/>
      <c r="AD145" s="496"/>
      <c r="AE145" s="496"/>
      <c r="AF145" s="547"/>
      <c r="AG145" s="547"/>
      <c r="AH145" s="482"/>
      <c r="AI145" s="482"/>
      <c r="AJ145" s="482"/>
      <c r="AK145" s="482"/>
      <c r="AL145" s="482"/>
      <c r="AM145" s="482"/>
      <c r="AN145" s="482"/>
      <c r="AO145" s="482"/>
      <c r="AP145" s="520"/>
      <c r="AQ145" s="520"/>
      <c r="AR145" s="496"/>
      <c r="AS145" s="496"/>
      <c r="AT145" s="536"/>
      <c r="AU145" s="484">
        <f t="shared" si="110"/>
        <v>0</v>
      </c>
      <c r="AV145" s="484"/>
      <c r="AW145" s="536"/>
      <c r="AX145" s="548"/>
      <c r="BG145" s="488">
        <f t="shared" si="137"/>
        <v>0</v>
      </c>
    </row>
    <row r="146" spans="1:59" s="81" customFormat="1" ht="59.25" customHeight="1">
      <c r="A146" s="478" t="s">
        <v>46</v>
      </c>
      <c r="B146" s="539" t="s">
        <v>288</v>
      </c>
      <c r="C146" s="533"/>
      <c r="D146" s="533"/>
      <c r="E146" s="533"/>
      <c r="F146" s="533"/>
      <c r="G146" s="533"/>
      <c r="H146" s="480"/>
      <c r="I146" s="480"/>
      <c r="J146" s="481"/>
      <c r="K146" s="482">
        <f>K149</f>
        <v>69484</v>
      </c>
      <c r="L146" s="482">
        <f t="shared" ref="L146:AQ146" si="144">L149</f>
        <v>31275</v>
      </c>
      <c r="M146" s="482">
        <f t="shared" si="144"/>
        <v>0</v>
      </c>
      <c r="N146" s="482">
        <f t="shared" si="144"/>
        <v>0</v>
      </c>
      <c r="O146" s="482">
        <f t="shared" si="144"/>
        <v>0</v>
      </c>
      <c r="P146" s="482">
        <f t="shared" si="144"/>
        <v>47184</v>
      </c>
      <c r="Q146" s="482">
        <f t="shared" si="144"/>
        <v>291.10000000000002</v>
      </c>
      <c r="R146" s="482">
        <f t="shared" si="144"/>
        <v>291.10000000000002</v>
      </c>
      <c r="S146" s="482">
        <f t="shared" si="144"/>
        <v>63775</v>
      </c>
      <c r="T146" s="482">
        <f t="shared" si="144"/>
        <v>31275</v>
      </c>
      <c r="U146" s="482">
        <f t="shared" si="144"/>
        <v>0</v>
      </c>
      <c r="V146" s="482">
        <f t="shared" si="144"/>
        <v>0</v>
      </c>
      <c r="W146" s="482">
        <f t="shared" ref="W146" si="145">W149</f>
        <v>19440</v>
      </c>
      <c r="X146" s="482">
        <f t="shared" si="144"/>
        <v>291.10000000000002</v>
      </c>
      <c r="Y146" s="482">
        <f t="shared" si="144"/>
        <v>291.10000000000002</v>
      </c>
      <c r="Z146" s="482">
        <f t="shared" si="144"/>
        <v>0</v>
      </c>
      <c r="AA146" s="482">
        <f t="shared" si="144"/>
        <v>0</v>
      </c>
      <c r="AB146" s="482">
        <f t="shared" si="144"/>
        <v>19193</v>
      </c>
      <c r="AC146" s="482">
        <f t="shared" si="144"/>
        <v>11850</v>
      </c>
      <c r="AD146" s="482">
        <f t="shared" si="144"/>
        <v>0</v>
      </c>
      <c r="AE146" s="482">
        <f t="shared" si="144"/>
        <v>0</v>
      </c>
      <c r="AF146" s="482">
        <f t="shared" si="144"/>
        <v>326.18600000000004</v>
      </c>
      <c r="AG146" s="482">
        <f t="shared" si="144"/>
        <v>5899.6270000000004</v>
      </c>
      <c r="AH146" s="482">
        <f t="shared" si="144"/>
        <v>19484.099999999999</v>
      </c>
      <c r="AI146" s="482">
        <f t="shared" si="144"/>
        <v>12141.1</v>
      </c>
      <c r="AJ146" s="482"/>
      <c r="AK146" s="482"/>
      <c r="AL146" s="482">
        <f t="shared" si="144"/>
        <v>6877.9</v>
      </c>
      <c r="AM146" s="482">
        <f t="shared" si="144"/>
        <v>6877.9</v>
      </c>
      <c r="AN146" s="482">
        <f t="shared" si="144"/>
        <v>0</v>
      </c>
      <c r="AO146" s="482">
        <f t="shared" si="144"/>
        <v>0</v>
      </c>
      <c r="AP146" s="482">
        <f t="shared" si="144"/>
        <v>6878</v>
      </c>
      <c r="AQ146" s="482">
        <f t="shared" si="144"/>
        <v>6878</v>
      </c>
      <c r="AR146" s="482">
        <f>AR141+AR149</f>
        <v>0</v>
      </c>
      <c r="AS146" s="482">
        <f>AS141+AS149</f>
        <v>0</v>
      </c>
      <c r="AT146" s="551"/>
      <c r="AU146" s="484">
        <f t="shared" si="110"/>
        <v>0</v>
      </c>
      <c r="AV146" s="489"/>
      <c r="AW146" s="551"/>
      <c r="AX146" s="537"/>
      <c r="BG146" s="488">
        <f t="shared" si="137"/>
        <v>-0.1000000000003638</v>
      </c>
    </row>
    <row r="147" spans="1:59" s="80" customFormat="1" ht="59.25" customHeight="1">
      <c r="A147" s="538" t="s">
        <v>309</v>
      </c>
      <c r="B147" s="539" t="s">
        <v>327</v>
      </c>
      <c r="C147" s="526"/>
      <c r="D147" s="526"/>
      <c r="E147" s="526"/>
      <c r="F147" s="526"/>
      <c r="G147" s="526"/>
      <c r="H147" s="526">
        <f>A169</f>
        <v>17</v>
      </c>
      <c r="I147" s="526"/>
      <c r="J147" s="527"/>
      <c r="K147" s="482"/>
      <c r="L147" s="482"/>
      <c r="M147" s="482"/>
      <c r="N147" s="482"/>
      <c r="O147" s="482"/>
      <c r="P147" s="482"/>
      <c r="Q147" s="482"/>
      <c r="R147" s="482"/>
      <c r="S147" s="482"/>
      <c r="T147" s="482"/>
      <c r="U147" s="482"/>
      <c r="V147" s="482"/>
      <c r="W147" s="482"/>
      <c r="X147" s="482"/>
      <c r="Y147" s="482"/>
      <c r="Z147" s="482"/>
      <c r="AA147" s="482"/>
      <c r="AB147" s="482"/>
      <c r="AC147" s="482"/>
      <c r="AD147" s="482"/>
      <c r="AE147" s="482"/>
      <c r="AF147" s="482"/>
      <c r="AG147" s="482"/>
      <c r="AH147" s="482"/>
      <c r="AI147" s="482"/>
      <c r="AJ147" s="482"/>
      <c r="AK147" s="482"/>
      <c r="AL147" s="482"/>
      <c r="AM147" s="482"/>
      <c r="AN147" s="482"/>
      <c r="AO147" s="482"/>
      <c r="AP147" s="482"/>
      <c r="AQ147" s="482"/>
      <c r="AR147" s="482"/>
      <c r="AS147" s="482"/>
      <c r="AT147" s="503"/>
      <c r="AU147" s="484">
        <f t="shared" si="110"/>
        <v>0</v>
      </c>
      <c r="AV147" s="484">
        <f t="shared" si="109"/>
        <v>0</v>
      </c>
      <c r="AW147" s="562"/>
      <c r="AX147" s="542"/>
      <c r="BG147" s="488">
        <f t="shared" si="137"/>
        <v>0</v>
      </c>
    </row>
    <row r="148" spans="1:59" s="80" customFormat="1" ht="59.25" customHeight="1">
      <c r="A148" s="619" t="s">
        <v>35</v>
      </c>
      <c r="B148" s="557" t="s">
        <v>431</v>
      </c>
      <c r="C148" s="526"/>
      <c r="D148" s="526"/>
      <c r="E148" s="526"/>
      <c r="F148" s="526"/>
      <c r="G148" s="526"/>
      <c r="H148" s="526"/>
      <c r="I148" s="526"/>
      <c r="J148" s="527"/>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482"/>
      <c r="AI148" s="482"/>
      <c r="AJ148" s="482"/>
      <c r="AK148" s="482"/>
      <c r="AL148" s="482"/>
      <c r="AM148" s="482"/>
      <c r="AN148" s="482"/>
      <c r="AO148" s="482"/>
      <c r="AP148" s="525"/>
      <c r="AQ148" s="525"/>
      <c r="AR148" s="525"/>
      <c r="AS148" s="525"/>
      <c r="AT148" s="503"/>
      <c r="AU148" s="484">
        <f t="shared" si="110"/>
        <v>0</v>
      </c>
      <c r="AV148" s="501"/>
      <c r="AW148" s="562"/>
      <c r="AX148" s="542"/>
      <c r="BG148" s="488">
        <f t="shared" si="137"/>
        <v>0</v>
      </c>
    </row>
    <row r="149" spans="1:59" s="80" customFormat="1" ht="59.25" customHeight="1">
      <c r="A149" s="556" t="s">
        <v>42</v>
      </c>
      <c r="B149" s="557" t="s">
        <v>45</v>
      </c>
      <c r="C149" s="526"/>
      <c r="D149" s="526"/>
      <c r="E149" s="526"/>
      <c r="F149" s="526"/>
      <c r="G149" s="526"/>
      <c r="H149" s="526"/>
      <c r="I149" s="526"/>
      <c r="J149" s="527"/>
      <c r="K149" s="525">
        <f>SUM(K150:K154)</f>
        <v>69484</v>
      </c>
      <c r="L149" s="525">
        <f t="shared" ref="L149:AS149" si="146">SUM(L150:L154)</f>
        <v>31275</v>
      </c>
      <c r="M149" s="525">
        <f t="shared" si="146"/>
        <v>0</v>
      </c>
      <c r="N149" s="525">
        <f t="shared" si="146"/>
        <v>0</v>
      </c>
      <c r="O149" s="525">
        <f t="shared" si="146"/>
        <v>0</v>
      </c>
      <c r="P149" s="525">
        <f t="shared" si="146"/>
        <v>47184</v>
      </c>
      <c r="Q149" s="525">
        <f t="shared" si="146"/>
        <v>291.10000000000002</v>
      </c>
      <c r="R149" s="525">
        <f t="shared" si="146"/>
        <v>291.10000000000002</v>
      </c>
      <c r="S149" s="525">
        <f t="shared" si="146"/>
        <v>63775</v>
      </c>
      <c r="T149" s="525">
        <f t="shared" si="146"/>
        <v>31275</v>
      </c>
      <c r="U149" s="525">
        <f t="shared" si="146"/>
        <v>0</v>
      </c>
      <c r="V149" s="525">
        <f t="shared" si="146"/>
        <v>0</v>
      </c>
      <c r="W149" s="525">
        <f t="shared" si="146"/>
        <v>19440</v>
      </c>
      <c r="X149" s="525">
        <f t="shared" si="146"/>
        <v>291.10000000000002</v>
      </c>
      <c r="Y149" s="525">
        <f t="shared" si="146"/>
        <v>291.10000000000002</v>
      </c>
      <c r="Z149" s="525">
        <f t="shared" si="146"/>
        <v>0</v>
      </c>
      <c r="AA149" s="525">
        <f t="shared" si="146"/>
        <v>0</v>
      </c>
      <c r="AB149" s="525">
        <f t="shared" si="146"/>
        <v>19193</v>
      </c>
      <c r="AC149" s="525">
        <f t="shared" si="146"/>
        <v>11850</v>
      </c>
      <c r="AD149" s="525">
        <f t="shared" si="146"/>
        <v>0</v>
      </c>
      <c r="AE149" s="525">
        <f t="shared" si="146"/>
        <v>0</v>
      </c>
      <c r="AF149" s="525">
        <f t="shared" si="146"/>
        <v>326.18600000000004</v>
      </c>
      <c r="AG149" s="525">
        <f t="shared" si="146"/>
        <v>5899.6270000000004</v>
      </c>
      <c r="AH149" s="525">
        <f t="shared" si="146"/>
        <v>19484.099999999999</v>
      </c>
      <c r="AI149" s="525">
        <f t="shared" si="146"/>
        <v>12141.1</v>
      </c>
      <c r="AJ149" s="525">
        <f t="shared" si="146"/>
        <v>0</v>
      </c>
      <c r="AK149" s="525">
        <f t="shared" si="146"/>
        <v>0</v>
      </c>
      <c r="AL149" s="525">
        <f t="shared" si="146"/>
        <v>6877.9</v>
      </c>
      <c r="AM149" s="525">
        <f t="shared" si="146"/>
        <v>6877.9</v>
      </c>
      <c r="AN149" s="525">
        <f t="shared" si="146"/>
        <v>0</v>
      </c>
      <c r="AO149" s="525">
        <f t="shared" si="146"/>
        <v>0</v>
      </c>
      <c r="AP149" s="525">
        <f t="shared" si="146"/>
        <v>6878</v>
      </c>
      <c r="AQ149" s="525">
        <f t="shared" si="146"/>
        <v>6878</v>
      </c>
      <c r="AR149" s="525">
        <f t="shared" si="146"/>
        <v>0</v>
      </c>
      <c r="AS149" s="525">
        <f t="shared" si="146"/>
        <v>0</v>
      </c>
      <c r="AT149" s="503"/>
      <c r="AU149" s="484">
        <f t="shared" si="110"/>
        <v>0</v>
      </c>
      <c r="AV149" s="501"/>
      <c r="AW149" s="562"/>
      <c r="AX149" s="542"/>
      <c r="BG149" s="488">
        <f t="shared" si="137"/>
        <v>-0.1000000000003638</v>
      </c>
    </row>
    <row r="150" spans="1:59" s="510" customFormat="1" ht="59.25" customHeight="1">
      <c r="A150" s="484">
        <v>1</v>
      </c>
      <c r="B150" s="560" t="s">
        <v>435</v>
      </c>
      <c r="C150" s="582" t="s">
        <v>428</v>
      </c>
      <c r="D150" s="582"/>
      <c r="E150" s="566" t="s">
        <v>992</v>
      </c>
      <c r="F150" s="582"/>
      <c r="G150" s="582"/>
      <c r="H150" s="503"/>
      <c r="I150" s="494" t="s">
        <v>627</v>
      </c>
      <c r="J150" s="563" t="s">
        <v>436</v>
      </c>
      <c r="K150" s="496">
        <v>6000</v>
      </c>
      <c r="L150" s="496">
        <v>6000</v>
      </c>
      <c r="M150" s="496"/>
      <c r="N150" s="496"/>
      <c r="O150" s="496"/>
      <c r="P150" s="496"/>
      <c r="Q150" s="496">
        <f t="shared" ref="Q150:R154" si="147">M150+X150</f>
        <v>78</v>
      </c>
      <c r="R150" s="496">
        <f t="shared" si="147"/>
        <v>78</v>
      </c>
      <c r="S150" s="496">
        <f>T150</f>
        <v>6000</v>
      </c>
      <c r="T150" s="496">
        <v>6000</v>
      </c>
      <c r="U150" s="496"/>
      <c r="V150" s="496"/>
      <c r="W150" s="496">
        <f>78+5200</f>
        <v>5278</v>
      </c>
      <c r="X150" s="496">
        <v>78</v>
      </c>
      <c r="Y150" s="496">
        <v>78</v>
      </c>
      <c r="Z150" s="496"/>
      <c r="AA150" s="496"/>
      <c r="AB150" s="496">
        <f>AC150</f>
        <v>5200</v>
      </c>
      <c r="AC150" s="496">
        <f>1600+3600</f>
        <v>5200</v>
      </c>
      <c r="AD150" s="496"/>
      <c r="AE150" s="496"/>
      <c r="AF150" s="520">
        <v>19.186</v>
      </c>
      <c r="AG150" s="520">
        <v>1589.4469999999999</v>
      </c>
      <c r="AH150" s="496">
        <f t="shared" ref="AH150:AH171" si="148">X150+AB150</f>
        <v>5278</v>
      </c>
      <c r="AI150" s="496">
        <f t="shared" ref="AI150:AI170" si="149">Y150+AC150</f>
        <v>5278</v>
      </c>
      <c r="AJ150" s="496"/>
      <c r="AK150" s="496"/>
      <c r="AL150" s="496">
        <f>AM150</f>
        <v>722</v>
      </c>
      <c r="AM150" s="496">
        <f>T150-AI150</f>
        <v>722</v>
      </c>
      <c r="AN150" s="496">
        <f t="shared" ref="AN150:AN193" si="150">AR150</f>
        <v>0</v>
      </c>
      <c r="AO150" s="496">
        <f t="shared" ref="AO150:AO193" si="151">AS150</f>
        <v>0</v>
      </c>
      <c r="AP150" s="496">
        <f>AQ150</f>
        <v>722</v>
      </c>
      <c r="AQ150" s="496">
        <v>722</v>
      </c>
      <c r="AR150" s="496"/>
      <c r="AS150" s="496"/>
      <c r="AT150" s="494" t="s">
        <v>1025</v>
      </c>
      <c r="AU150" s="484">
        <f t="shared" si="110"/>
        <v>0</v>
      </c>
      <c r="AV150" s="484">
        <f t="shared" si="109"/>
        <v>0</v>
      </c>
      <c r="AW150" s="562"/>
      <c r="AX150" s="572"/>
      <c r="BG150" s="488">
        <f t="shared" si="137"/>
        <v>0</v>
      </c>
    </row>
    <row r="151" spans="1:59" s="510" customFormat="1" ht="59.25" customHeight="1">
      <c r="A151" s="484">
        <v>2</v>
      </c>
      <c r="B151" s="552" t="s">
        <v>437</v>
      </c>
      <c r="C151" s="582" t="s">
        <v>428</v>
      </c>
      <c r="D151" s="582"/>
      <c r="E151" s="566" t="s">
        <v>992</v>
      </c>
      <c r="F151" s="582"/>
      <c r="G151" s="582"/>
      <c r="H151" s="503"/>
      <c r="I151" s="494" t="s">
        <v>627</v>
      </c>
      <c r="J151" s="495" t="s">
        <v>438</v>
      </c>
      <c r="K151" s="520">
        <v>4800</v>
      </c>
      <c r="L151" s="520">
        <v>4800</v>
      </c>
      <c r="M151" s="496"/>
      <c r="N151" s="496"/>
      <c r="O151" s="496"/>
      <c r="P151" s="496"/>
      <c r="Q151" s="496">
        <f t="shared" si="147"/>
        <v>65</v>
      </c>
      <c r="R151" s="496">
        <f t="shared" si="147"/>
        <v>65</v>
      </c>
      <c r="S151" s="496">
        <f>T151</f>
        <v>4800</v>
      </c>
      <c r="T151" s="496">
        <v>4800</v>
      </c>
      <c r="U151" s="496"/>
      <c r="V151" s="496"/>
      <c r="W151" s="496">
        <f>65+1500</f>
        <v>1565</v>
      </c>
      <c r="X151" s="496">
        <v>65</v>
      </c>
      <c r="Y151" s="496">
        <v>65</v>
      </c>
      <c r="Z151" s="496"/>
      <c r="AA151" s="496"/>
      <c r="AB151" s="496">
        <v>1500</v>
      </c>
      <c r="AC151" s="496">
        <v>1500</v>
      </c>
      <c r="AD151" s="496"/>
      <c r="AE151" s="496"/>
      <c r="AF151" s="520">
        <v>140</v>
      </c>
      <c r="AG151" s="520">
        <v>1409.88</v>
      </c>
      <c r="AH151" s="496">
        <f t="shared" si="148"/>
        <v>1565</v>
      </c>
      <c r="AI151" s="496">
        <f t="shared" si="149"/>
        <v>1565</v>
      </c>
      <c r="AJ151" s="496"/>
      <c r="AK151" s="496"/>
      <c r="AL151" s="496">
        <f t="shared" ref="AL151:AL190" si="152">AP151</f>
        <v>2700</v>
      </c>
      <c r="AM151" s="496">
        <f t="shared" ref="AM151:AM190" si="153">AQ151</f>
        <v>2700</v>
      </c>
      <c r="AN151" s="496">
        <f t="shared" si="150"/>
        <v>0</v>
      </c>
      <c r="AO151" s="496">
        <f t="shared" si="151"/>
        <v>0</v>
      </c>
      <c r="AP151" s="496">
        <f t="shared" ref="AP151" si="154">AQ151</f>
        <v>2700</v>
      </c>
      <c r="AQ151" s="496">
        <v>2700</v>
      </c>
      <c r="AR151" s="496"/>
      <c r="AS151" s="496"/>
      <c r="AT151" s="494"/>
      <c r="AU151" s="484">
        <f t="shared" si="110"/>
        <v>0</v>
      </c>
      <c r="AV151" s="484">
        <f t="shared" si="109"/>
        <v>0</v>
      </c>
      <c r="AW151" s="562">
        <f>AC151</f>
        <v>1500</v>
      </c>
      <c r="AX151" s="548">
        <f>T151</f>
        <v>4800</v>
      </c>
      <c r="AY151" s="82">
        <f>T151-AX151</f>
        <v>0</v>
      </c>
      <c r="BD151" s="510">
        <v>1</v>
      </c>
      <c r="BE151" s="510">
        <v>1</v>
      </c>
      <c r="BF151" s="510">
        <f>AQ151</f>
        <v>2700</v>
      </c>
      <c r="BG151" s="488">
        <f t="shared" si="137"/>
        <v>0</v>
      </c>
    </row>
    <row r="152" spans="1:59" s="510" customFormat="1" ht="59.25" customHeight="1">
      <c r="A152" s="484">
        <v>3</v>
      </c>
      <c r="B152" s="565" t="s">
        <v>439</v>
      </c>
      <c r="C152" s="582" t="s">
        <v>428</v>
      </c>
      <c r="D152" s="582"/>
      <c r="E152" s="566" t="s">
        <v>992</v>
      </c>
      <c r="F152" s="582"/>
      <c r="G152" s="582"/>
      <c r="H152" s="503"/>
      <c r="I152" s="494" t="s">
        <v>948</v>
      </c>
      <c r="J152" s="563" t="s">
        <v>440</v>
      </c>
      <c r="K152" s="496">
        <v>8000</v>
      </c>
      <c r="L152" s="496">
        <v>8000</v>
      </c>
      <c r="M152" s="496"/>
      <c r="N152" s="496"/>
      <c r="O152" s="496"/>
      <c r="P152" s="496"/>
      <c r="Q152" s="496">
        <f t="shared" si="147"/>
        <v>104</v>
      </c>
      <c r="R152" s="496">
        <f t="shared" si="147"/>
        <v>104</v>
      </c>
      <c r="S152" s="496">
        <f>T152</f>
        <v>8000</v>
      </c>
      <c r="T152" s="496">
        <v>8000</v>
      </c>
      <c r="U152" s="496"/>
      <c r="V152" s="496"/>
      <c r="W152" s="496">
        <f>104+2150</f>
        <v>2254</v>
      </c>
      <c r="X152" s="496">
        <v>104</v>
      </c>
      <c r="Y152" s="496">
        <v>104</v>
      </c>
      <c r="Z152" s="496"/>
      <c r="AA152" s="496"/>
      <c r="AB152" s="496">
        <v>2150</v>
      </c>
      <c r="AC152" s="496">
        <v>2150</v>
      </c>
      <c r="AD152" s="496"/>
      <c r="AE152" s="496"/>
      <c r="AF152" s="520">
        <v>167</v>
      </c>
      <c r="AG152" s="520">
        <v>2066.6129999999998</v>
      </c>
      <c r="AH152" s="496">
        <f t="shared" si="148"/>
        <v>2254</v>
      </c>
      <c r="AI152" s="496">
        <f t="shared" si="149"/>
        <v>2254</v>
      </c>
      <c r="AJ152" s="496"/>
      <c r="AK152" s="496"/>
      <c r="AL152" s="496">
        <f t="shared" si="152"/>
        <v>2000</v>
      </c>
      <c r="AM152" s="496">
        <f t="shared" si="153"/>
        <v>2000</v>
      </c>
      <c r="AN152" s="496">
        <f t="shared" si="150"/>
        <v>0</v>
      </c>
      <c r="AO152" s="496">
        <f t="shared" si="151"/>
        <v>0</v>
      </c>
      <c r="AP152" s="496">
        <f>AQ152</f>
        <v>2000</v>
      </c>
      <c r="AQ152" s="496">
        <v>2000</v>
      </c>
      <c r="AR152" s="496"/>
      <c r="AS152" s="496"/>
      <c r="AT152" s="494"/>
      <c r="AU152" s="484">
        <f t="shared" si="110"/>
        <v>0</v>
      </c>
      <c r="AV152" s="484">
        <f t="shared" ref="AV152:AV196" si="155">V152-AA152</f>
        <v>0</v>
      </c>
      <c r="AW152" s="562"/>
      <c r="AX152" s="572"/>
      <c r="BG152" s="488">
        <f t="shared" si="137"/>
        <v>0</v>
      </c>
    </row>
    <row r="153" spans="1:59" s="82" customFormat="1" ht="59.25" customHeight="1">
      <c r="A153" s="484">
        <v>4</v>
      </c>
      <c r="B153" s="552" t="s">
        <v>441</v>
      </c>
      <c r="C153" s="545" t="s">
        <v>442</v>
      </c>
      <c r="D153" s="545"/>
      <c r="E153" s="566" t="s">
        <v>987</v>
      </c>
      <c r="F153" s="545"/>
      <c r="G153" s="545"/>
      <c r="H153" s="494"/>
      <c r="I153" s="494" t="s">
        <v>811</v>
      </c>
      <c r="J153" s="495" t="s">
        <v>950</v>
      </c>
      <c r="K153" s="520">
        <v>3500</v>
      </c>
      <c r="L153" s="520">
        <v>3500</v>
      </c>
      <c r="M153" s="496"/>
      <c r="N153" s="496"/>
      <c r="O153" s="496"/>
      <c r="P153" s="496"/>
      <c r="Q153" s="496">
        <f t="shared" si="147"/>
        <v>44.099999999999994</v>
      </c>
      <c r="R153" s="496">
        <f t="shared" si="147"/>
        <v>44.099999999999994</v>
      </c>
      <c r="S153" s="496">
        <f>T153</f>
        <v>3500</v>
      </c>
      <c r="T153" s="496">
        <v>3500</v>
      </c>
      <c r="U153" s="496"/>
      <c r="V153" s="496"/>
      <c r="W153" s="496">
        <v>3000</v>
      </c>
      <c r="X153" s="496">
        <v>44.099999999999994</v>
      </c>
      <c r="Y153" s="496">
        <v>44.099999999999994</v>
      </c>
      <c r="Z153" s="496"/>
      <c r="AA153" s="496"/>
      <c r="AB153" s="496">
        <f>AC153</f>
        <v>3000</v>
      </c>
      <c r="AC153" s="496">
        <f>1000+2000</f>
        <v>3000</v>
      </c>
      <c r="AD153" s="496"/>
      <c r="AE153" s="620"/>
      <c r="AF153" s="614">
        <v>0</v>
      </c>
      <c r="AG153" s="614">
        <v>833.68700000000001</v>
      </c>
      <c r="AH153" s="620">
        <f t="shared" si="148"/>
        <v>3044.1</v>
      </c>
      <c r="AI153" s="496">
        <f t="shared" si="149"/>
        <v>3044.1</v>
      </c>
      <c r="AJ153" s="496"/>
      <c r="AK153" s="496"/>
      <c r="AL153" s="496">
        <f>AM153</f>
        <v>455.90000000000009</v>
      </c>
      <c r="AM153" s="496">
        <f>L153-AI153</f>
        <v>455.90000000000009</v>
      </c>
      <c r="AN153" s="496">
        <f t="shared" si="150"/>
        <v>0</v>
      </c>
      <c r="AO153" s="496">
        <f t="shared" si="151"/>
        <v>0</v>
      </c>
      <c r="AP153" s="496">
        <f>AQ153</f>
        <v>456</v>
      </c>
      <c r="AQ153" s="496">
        <v>456</v>
      </c>
      <c r="AR153" s="496"/>
      <c r="AS153" s="496"/>
      <c r="AT153" s="494" t="s">
        <v>1026</v>
      </c>
      <c r="AU153" s="484">
        <f t="shared" si="110"/>
        <v>0</v>
      </c>
      <c r="AV153" s="484">
        <f t="shared" si="155"/>
        <v>0</v>
      </c>
      <c r="AW153" s="536"/>
      <c r="AX153" s="548"/>
      <c r="BG153" s="488">
        <f t="shared" si="137"/>
        <v>-9.9999999999909051E-2</v>
      </c>
    </row>
    <row r="154" spans="1:59" s="82" customFormat="1" ht="88.5" customHeight="1">
      <c r="A154" s="484">
        <v>5</v>
      </c>
      <c r="B154" s="611" t="s">
        <v>443</v>
      </c>
      <c r="C154" s="566" t="s">
        <v>444</v>
      </c>
      <c r="D154" s="566"/>
      <c r="E154" s="566" t="s">
        <v>992</v>
      </c>
      <c r="F154" s="566"/>
      <c r="G154" s="566"/>
      <c r="H154" s="566" t="s">
        <v>445</v>
      </c>
      <c r="I154" s="566" t="s">
        <v>446</v>
      </c>
      <c r="J154" s="566" t="s">
        <v>447</v>
      </c>
      <c r="K154" s="621">
        <v>47184</v>
      </c>
      <c r="L154" s="622">
        <v>8975</v>
      </c>
      <c r="M154" s="496"/>
      <c r="N154" s="496"/>
      <c r="O154" s="496"/>
      <c r="P154" s="496">
        <f>K154</f>
        <v>47184</v>
      </c>
      <c r="Q154" s="496">
        <f t="shared" si="147"/>
        <v>0</v>
      </c>
      <c r="R154" s="496">
        <f t="shared" si="147"/>
        <v>0</v>
      </c>
      <c r="S154" s="579">
        <f>T154+32500</f>
        <v>41475</v>
      </c>
      <c r="T154" s="496">
        <v>8975</v>
      </c>
      <c r="U154" s="496"/>
      <c r="V154" s="496"/>
      <c r="W154" s="496">
        <v>7343</v>
      </c>
      <c r="X154" s="496"/>
      <c r="Y154" s="496"/>
      <c r="Z154" s="496"/>
      <c r="AA154" s="496"/>
      <c r="AB154" s="496">
        <v>7343</v>
      </c>
      <c r="AC154" s="496"/>
      <c r="AD154" s="496"/>
      <c r="AE154" s="496"/>
      <c r="AF154" s="496"/>
      <c r="AG154" s="496"/>
      <c r="AH154" s="496">
        <f t="shared" si="148"/>
        <v>7343</v>
      </c>
      <c r="AI154" s="496">
        <f t="shared" si="149"/>
        <v>0</v>
      </c>
      <c r="AJ154" s="496"/>
      <c r="AK154" s="496"/>
      <c r="AL154" s="496">
        <f t="shared" si="152"/>
        <v>1000</v>
      </c>
      <c r="AM154" s="496">
        <f t="shared" si="153"/>
        <v>1000</v>
      </c>
      <c r="AN154" s="496">
        <f t="shared" si="150"/>
        <v>0</v>
      </c>
      <c r="AO154" s="496">
        <f t="shared" si="151"/>
        <v>0</v>
      </c>
      <c r="AP154" s="496">
        <f>AQ154</f>
        <v>1000</v>
      </c>
      <c r="AQ154" s="496">
        <v>1000</v>
      </c>
      <c r="AR154" s="496"/>
      <c r="AS154" s="496"/>
      <c r="AT154" s="566" t="s">
        <v>448</v>
      </c>
      <c r="AU154" s="484">
        <f t="shared" si="110"/>
        <v>0</v>
      </c>
      <c r="AV154" s="484">
        <f>V154-AA154</f>
        <v>0</v>
      </c>
      <c r="AW154" s="536"/>
      <c r="AX154" s="548"/>
      <c r="BG154" s="488">
        <f t="shared" si="137"/>
        <v>0</v>
      </c>
    </row>
    <row r="155" spans="1:59" s="80" customFormat="1" ht="59.25" customHeight="1">
      <c r="A155" s="478" t="s">
        <v>279</v>
      </c>
      <c r="B155" s="539" t="s">
        <v>289</v>
      </c>
      <c r="C155" s="615"/>
      <c r="D155" s="615"/>
      <c r="E155" s="615"/>
      <c r="F155" s="615"/>
      <c r="G155" s="615"/>
      <c r="H155" s="615"/>
      <c r="I155" s="615"/>
      <c r="J155" s="527"/>
      <c r="K155" s="602">
        <f>K156</f>
        <v>39850</v>
      </c>
      <c r="L155" s="602">
        <f t="shared" ref="L155:AS155" si="156">L156</f>
        <v>39850</v>
      </c>
      <c r="M155" s="602">
        <f t="shared" si="156"/>
        <v>0</v>
      </c>
      <c r="N155" s="602">
        <f t="shared" si="156"/>
        <v>0</v>
      </c>
      <c r="O155" s="602">
        <f t="shared" si="156"/>
        <v>0</v>
      </c>
      <c r="P155" s="602">
        <f t="shared" si="156"/>
        <v>0</v>
      </c>
      <c r="Q155" s="602">
        <f t="shared" si="156"/>
        <v>215</v>
      </c>
      <c r="R155" s="602">
        <f t="shared" si="156"/>
        <v>215</v>
      </c>
      <c r="S155" s="602">
        <f t="shared" si="156"/>
        <v>37350</v>
      </c>
      <c r="T155" s="602">
        <f t="shared" si="156"/>
        <v>37350</v>
      </c>
      <c r="U155" s="602">
        <f t="shared" si="156"/>
        <v>0</v>
      </c>
      <c r="V155" s="602">
        <f t="shared" si="156"/>
        <v>0</v>
      </c>
      <c r="W155" s="602">
        <f t="shared" si="156"/>
        <v>215</v>
      </c>
      <c r="X155" s="602">
        <f t="shared" si="156"/>
        <v>215</v>
      </c>
      <c r="Y155" s="602">
        <f t="shared" si="156"/>
        <v>215</v>
      </c>
      <c r="Z155" s="602">
        <f t="shared" si="156"/>
        <v>0</v>
      </c>
      <c r="AA155" s="602">
        <f t="shared" si="156"/>
        <v>0</v>
      </c>
      <c r="AB155" s="602">
        <f t="shared" si="156"/>
        <v>300</v>
      </c>
      <c r="AC155" s="602">
        <f t="shared" si="156"/>
        <v>300</v>
      </c>
      <c r="AD155" s="602">
        <f t="shared" si="156"/>
        <v>0</v>
      </c>
      <c r="AE155" s="602">
        <f t="shared" si="156"/>
        <v>0</v>
      </c>
      <c r="AF155" s="602">
        <f t="shared" si="156"/>
        <v>0</v>
      </c>
      <c r="AG155" s="602">
        <f t="shared" si="156"/>
        <v>0</v>
      </c>
      <c r="AH155" s="602">
        <f t="shared" si="156"/>
        <v>515</v>
      </c>
      <c r="AI155" s="602">
        <f t="shared" si="156"/>
        <v>515</v>
      </c>
      <c r="AJ155" s="602"/>
      <c r="AK155" s="602"/>
      <c r="AL155" s="602">
        <f t="shared" si="156"/>
        <v>10500</v>
      </c>
      <c r="AM155" s="602">
        <f t="shared" si="156"/>
        <v>10500</v>
      </c>
      <c r="AN155" s="602">
        <f t="shared" si="156"/>
        <v>0</v>
      </c>
      <c r="AO155" s="602">
        <f t="shared" si="156"/>
        <v>0</v>
      </c>
      <c r="AP155" s="602">
        <f t="shared" si="156"/>
        <v>10500</v>
      </c>
      <c r="AQ155" s="602">
        <f t="shared" si="156"/>
        <v>10500</v>
      </c>
      <c r="AR155" s="602">
        <f t="shared" si="156"/>
        <v>0</v>
      </c>
      <c r="AS155" s="602">
        <f t="shared" si="156"/>
        <v>0</v>
      </c>
      <c r="AT155" s="526"/>
      <c r="AU155" s="484">
        <f t="shared" si="110"/>
        <v>0</v>
      </c>
      <c r="AV155" s="501">
        <f t="shared" si="155"/>
        <v>0</v>
      </c>
      <c r="AW155" s="526"/>
      <c r="AX155" s="531"/>
      <c r="AZ155" s="532"/>
      <c r="BA155" s="532"/>
      <c r="BG155" s="488">
        <f t="shared" si="137"/>
        <v>0</v>
      </c>
    </row>
    <row r="156" spans="1:59" s="80" customFormat="1" ht="59.25" customHeight="1">
      <c r="A156" s="556" t="s">
        <v>35</v>
      </c>
      <c r="B156" s="557" t="s">
        <v>45</v>
      </c>
      <c r="C156" s="615"/>
      <c r="D156" s="615"/>
      <c r="E156" s="615"/>
      <c r="F156" s="615"/>
      <c r="G156" s="615"/>
      <c r="H156" s="615"/>
      <c r="I156" s="615"/>
      <c r="J156" s="527"/>
      <c r="K156" s="602">
        <f>SUM(K157:K159)</f>
        <v>39850</v>
      </c>
      <c r="L156" s="602">
        <f t="shared" ref="L156:AS156" si="157">SUM(L157:L159)</f>
        <v>39850</v>
      </c>
      <c r="M156" s="602">
        <f t="shared" si="157"/>
        <v>0</v>
      </c>
      <c r="N156" s="602">
        <f t="shared" si="157"/>
        <v>0</v>
      </c>
      <c r="O156" s="602">
        <f t="shared" si="157"/>
        <v>0</v>
      </c>
      <c r="P156" s="602">
        <f t="shared" si="157"/>
        <v>0</v>
      </c>
      <c r="Q156" s="602">
        <f t="shared" si="157"/>
        <v>215</v>
      </c>
      <c r="R156" s="602">
        <f t="shared" si="157"/>
        <v>215</v>
      </c>
      <c r="S156" s="602">
        <f t="shared" si="157"/>
        <v>37350</v>
      </c>
      <c r="T156" s="602">
        <f t="shared" si="157"/>
        <v>37350</v>
      </c>
      <c r="U156" s="602">
        <f t="shared" si="157"/>
        <v>0</v>
      </c>
      <c r="V156" s="602">
        <f t="shared" si="157"/>
        <v>0</v>
      </c>
      <c r="W156" s="602">
        <f t="shared" si="157"/>
        <v>215</v>
      </c>
      <c r="X156" s="602">
        <f t="shared" si="157"/>
        <v>215</v>
      </c>
      <c r="Y156" s="602">
        <f t="shared" si="157"/>
        <v>215</v>
      </c>
      <c r="Z156" s="602">
        <f t="shared" si="157"/>
        <v>0</v>
      </c>
      <c r="AA156" s="602">
        <f t="shared" si="157"/>
        <v>0</v>
      </c>
      <c r="AB156" s="602">
        <f t="shared" si="157"/>
        <v>300</v>
      </c>
      <c r="AC156" s="602">
        <f t="shared" si="157"/>
        <v>300</v>
      </c>
      <c r="AD156" s="602">
        <f t="shared" si="157"/>
        <v>0</v>
      </c>
      <c r="AE156" s="602">
        <f t="shared" si="157"/>
        <v>0</v>
      </c>
      <c r="AF156" s="602">
        <f t="shared" si="157"/>
        <v>0</v>
      </c>
      <c r="AG156" s="602">
        <f t="shared" si="157"/>
        <v>0</v>
      </c>
      <c r="AH156" s="602">
        <f t="shared" si="157"/>
        <v>515</v>
      </c>
      <c r="AI156" s="602">
        <f t="shared" si="157"/>
        <v>515</v>
      </c>
      <c r="AJ156" s="602">
        <f t="shared" si="157"/>
        <v>0</v>
      </c>
      <c r="AK156" s="602">
        <f t="shared" si="157"/>
        <v>0</v>
      </c>
      <c r="AL156" s="602">
        <f t="shared" si="157"/>
        <v>10500</v>
      </c>
      <c r="AM156" s="602">
        <f t="shared" si="157"/>
        <v>10500</v>
      </c>
      <c r="AN156" s="602">
        <f t="shared" si="157"/>
        <v>0</v>
      </c>
      <c r="AO156" s="602">
        <f t="shared" si="157"/>
        <v>0</v>
      </c>
      <c r="AP156" s="602">
        <f t="shared" si="157"/>
        <v>10500</v>
      </c>
      <c r="AQ156" s="602">
        <f t="shared" si="157"/>
        <v>10500</v>
      </c>
      <c r="AR156" s="602">
        <f t="shared" si="157"/>
        <v>0</v>
      </c>
      <c r="AS156" s="602">
        <f t="shared" si="157"/>
        <v>0</v>
      </c>
      <c r="AT156" s="526"/>
      <c r="AU156" s="484">
        <f t="shared" ref="AU156:AU196" si="158">AP156-AQ156</f>
        <v>0</v>
      </c>
      <c r="AV156" s="501"/>
      <c r="AW156" s="526"/>
      <c r="AX156" s="531"/>
      <c r="AZ156" s="532"/>
      <c r="BA156" s="532"/>
      <c r="BG156" s="488">
        <f t="shared" si="137"/>
        <v>0</v>
      </c>
    </row>
    <row r="157" spans="1:59" s="510" customFormat="1" ht="59.25" customHeight="1">
      <c r="A157" s="484">
        <v>2</v>
      </c>
      <c r="B157" s="560" t="s">
        <v>449</v>
      </c>
      <c r="C157" s="582" t="s">
        <v>428</v>
      </c>
      <c r="D157" s="582"/>
      <c r="E157" s="566" t="s">
        <v>992</v>
      </c>
      <c r="F157" s="582"/>
      <c r="G157" s="582"/>
      <c r="H157" s="503"/>
      <c r="I157" s="494" t="s">
        <v>381</v>
      </c>
      <c r="J157" s="623" t="s">
        <v>819</v>
      </c>
      <c r="K157" s="496">
        <v>9500</v>
      </c>
      <c r="L157" s="496">
        <v>9500</v>
      </c>
      <c r="M157" s="496"/>
      <c r="N157" s="496"/>
      <c r="O157" s="496"/>
      <c r="P157" s="496"/>
      <c r="Q157" s="496">
        <f t="shared" ref="Q157:R159" si="159">M157+X157</f>
        <v>124</v>
      </c>
      <c r="R157" s="496">
        <f t="shared" si="159"/>
        <v>124</v>
      </c>
      <c r="S157" s="496">
        <f>T157</f>
        <v>9500</v>
      </c>
      <c r="T157" s="496">
        <v>9500</v>
      </c>
      <c r="U157" s="496"/>
      <c r="V157" s="496"/>
      <c r="W157" s="496">
        <v>124</v>
      </c>
      <c r="X157" s="496">
        <v>124</v>
      </c>
      <c r="Y157" s="496">
        <v>124</v>
      </c>
      <c r="Z157" s="496"/>
      <c r="AA157" s="496"/>
      <c r="AB157" s="496"/>
      <c r="AC157" s="496"/>
      <c r="AD157" s="496"/>
      <c r="AE157" s="496">
        <f>AC157/T157*100</f>
        <v>0</v>
      </c>
      <c r="AF157" s="496"/>
      <c r="AG157" s="496"/>
      <c r="AH157" s="496">
        <f t="shared" si="148"/>
        <v>124</v>
      </c>
      <c r="AI157" s="496">
        <f t="shared" si="149"/>
        <v>124</v>
      </c>
      <c r="AJ157" s="496"/>
      <c r="AK157" s="496"/>
      <c r="AL157" s="496">
        <f t="shared" si="152"/>
        <v>3500</v>
      </c>
      <c r="AM157" s="496">
        <f t="shared" si="153"/>
        <v>3500</v>
      </c>
      <c r="AN157" s="496">
        <f t="shared" si="150"/>
        <v>0</v>
      </c>
      <c r="AO157" s="496"/>
      <c r="AP157" s="496">
        <f>AQ157</f>
        <v>3500</v>
      </c>
      <c r="AQ157" s="496">
        <v>3500</v>
      </c>
      <c r="AR157" s="496"/>
      <c r="AS157" s="496"/>
      <c r="AT157" s="623" t="s">
        <v>1068</v>
      </c>
      <c r="AU157" s="484">
        <f t="shared" si="158"/>
        <v>0</v>
      </c>
      <c r="AV157" s="484">
        <f t="shared" si="155"/>
        <v>0</v>
      </c>
      <c r="AW157" s="562"/>
      <c r="AX157" s="572"/>
      <c r="BG157" s="488">
        <f t="shared" si="137"/>
        <v>0</v>
      </c>
    </row>
    <row r="158" spans="1:59" s="510" customFormat="1" ht="59.25" customHeight="1">
      <c r="A158" s="484">
        <v>3</v>
      </c>
      <c r="B158" s="608" t="s">
        <v>804</v>
      </c>
      <c r="C158" s="582" t="s">
        <v>428</v>
      </c>
      <c r="D158" s="582"/>
      <c r="E158" s="566" t="s">
        <v>992</v>
      </c>
      <c r="F158" s="582"/>
      <c r="G158" s="582"/>
      <c r="H158" s="503"/>
      <c r="I158" s="494" t="s">
        <v>948</v>
      </c>
      <c r="J158" s="624" t="s">
        <v>805</v>
      </c>
      <c r="K158" s="513">
        <v>5350</v>
      </c>
      <c r="L158" s="513">
        <v>5350</v>
      </c>
      <c r="M158" s="496"/>
      <c r="N158" s="496"/>
      <c r="O158" s="496"/>
      <c r="P158" s="496"/>
      <c r="Q158" s="496">
        <f t="shared" si="159"/>
        <v>91</v>
      </c>
      <c r="R158" s="496">
        <f t="shared" si="159"/>
        <v>91</v>
      </c>
      <c r="S158" s="496">
        <f>T158</f>
        <v>5350</v>
      </c>
      <c r="T158" s="496">
        <v>5350</v>
      </c>
      <c r="U158" s="496"/>
      <c r="V158" s="496"/>
      <c r="W158" s="496">
        <v>91</v>
      </c>
      <c r="X158" s="496">
        <v>91</v>
      </c>
      <c r="Y158" s="496">
        <v>91</v>
      </c>
      <c r="Z158" s="496"/>
      <c r="AA158" s="496"/>
      <c r="AB158" s="496"/>
      <c r="AC158" s="496"/>
      <c r="AD158" s="496"/>
      <c r="AE158" s="496"/>
      <c r="AF158" s="496"/>
      <c r="AG158" s="496"/>
      <c r="AH158" s="496">
        <f t="shared" si="148"/>
        <v>91</v>
      </c>
      <c r="AI158" s="496">
        <f t="shared" si="149"/>
        <v>91</v>
      </c>
      <c r="AJ158" s="496"/>
      <c r="AK158" s="496"/>
      <c r="AL158" s="496">
        <f t="shared" si="152"/>
        <v>1500</v>
      </c>
      <c r="AM158" s="496">
        <f t="shared" si="153"/>
        <v>1500</v>
      </c>
      <c r="AN158" s="496">
        <f t="shared" si="150"/>
        <v>0</v>
      </c>
      <c r="AO158" s="496"/>
      <c r="AP158" s="496">
        <f>AQ158</f>
        <v>1500</v>
      </c>
      <c r="AQ158" s="496">
        <v>1500</v>
      </c>
      <c r="AR158" s="496"/>
      <c r="AS158" s="496"/>
      <c r="AT158" s="623" t="s">
        <v>1068</v>
      </c>
      <c r="AU158" s="484">
        <f t="shared" si="158"/>
        <v>0</v>
      </c>
      <c r="AV158" s="484">
        <f t="shared" si="155"/>
        <v>0</v>
      </c>
      <c r="AW158" s="562"/>
      <c r="AX158" s="548">
        <f>T158</f>
        <v>5350</v>
      </c>
      <c r="AY158" s="82">
        <f>T158-AX158</f>
        <v>0</v>
      </c>
      <c r="BD158" s="510">
        <v>1</v>
      </c>
      <c r="BE158" s="510">
        <v>1</v>
      </c>
      <c r="BF158" s="510">
        <f>AQ158</f>
        <v>1500</v>
      </c>
      <c r="BG158" s="488">
        <f t="shared" si="137"/>
        <v>0</v>
      </c>
    </row>
    <row r="159" spans="1:59" s="82" customFormat="1" ht="59.25" customHeight="1">
      <c r="A159" s="484">
        <v>4</v>
      </c>
      <c r="B159" s="599" t="s">
        <v>451</v>
      </c>
      <c r="C159" s="545" t="s">
        <v>442</v>
      </c>
      <c r="D159" s="545"/>
      <c r="E159" s="566" t="s">
        <v>992</v>
      </c>
      <c r="F159" s="545"/>
      <c r="G159" s="545"/>
      <c r="H159" s="494"/>
      <c r="I159" s="494" t="s">
        <v>381</v>
      </c>
      <c r="J159" s="625" t="s">
        <v>803</v>
      </c>
      <c r="K159" s="546">
        <f>L159</f>
        <v>25000</v>
      </c>
      <c r="L159" s="546">
        <v>25000</v>
      </c>
      <c r="M159" s="496"/>
      <c r="N159" s="496"/>
      <c r="O159" s="496"/>
      <c r="P159" s="496"/>
      <c r="Q159" s="496">
        <f t="shared" si="159"/>
        <v>0</v>
      </c>
      <c r="R159" s="496">
        <f t="shared" si="159"/>
        <v>0</v>
      </c>
      <c r="S159" s="496">
        <f>T159</f>
        <v>22500</v>
      </c>
      <c r="T159" s="496">
        <v>22500</v>
      </c>
      <c r="U159" s="496"/>
      <c r="V159" s="496"/>
      <c r="W159" s="496"/>
      <c r="X159" s="496"/>
      <c r="Y159" s="496"/>
      <c r="Z159" s="496"/>
      <c r="AA159" s="496"/>
      <c r="AB159" s="496">
        <v>300</v>
      </c>
      <c r="AC159" s="496">
        <v>300</v>
      </c>
      <c r="AD159" s="496"/>
      <c r="AE159" s="496"/>
      <c r="AF159" s="496"/>
      <c r="AG159" s="496"/>
      <c r="AH159" s="496">
        <f t="shared" si="148"/>
        <v>300</v>
      </c>
      <c r="AI159" s="496">
        <f t="shared" si="149"/>
        <v>300</v>
      </c>
      <c r="AJ159" s="496"/>
      <c r="AK159" s="496"/>
      <c r="AL159" s="496">
        <f t="shared" si="152"/>
        <v>5500</v>
      </c>
      <c r="AM159" s="496">
        <f t="shared" si="153"/>
        <v>5500</v>
      </c>
      <c r="AN159" s="496">
        <f t="shared" si="150"/>
        <v>0</v>
      </c>
      <c r="AO159" s="496"/>
      <c r="AP159" s="496">
        <f>AQ159</f>
        <v>5500</v>
      </c>
      <c r="AQ159" s="496">
        <v>5500</v>
      </c>
      <c r="AR159" s="496"/>
      <c r="AS159" s="496"/>
      <c r="AT159" s="623" t="s">
        <v>1068</v>
      </c>
      <c r="AU159" s="484">
        <f t="shared" si="158"/>
        <v>0</v>
      </c>
      <c r="AV159" s="484">
        <f t="shared" si="155"/>
        <v>0</v>
      </c>
      <c r="AW159" s="536"/>
      <c r="AX159" s="548"/>
      <c r="BG159" s="488">
        <f t="shared" si="137"/>
        <v>0</v>
      </c>
    </row>
    <row r="160" spans="1:59" s="81" customFormat="1" ht="59.25" customHeight="1">
      <c r="A160" s="489" t="s">
        <v>280</v>
      </c>
      <c r="B160" s="626" t="s">
        <v>169</v>
      </c>
      <c r="C160" s="627"/>
      <c r="D160" s="627"/>
      <c r="E160" s="627"/>
      <c r="F160" s="627"/>
      <c r="G160" s="627"/>
      <c r="H160" s="627"/>
      <c r="I160" s="627"/>
      <c r="J160" s="558"/>
      <c r="K160" s="482">
        <f>K161</f>
        <v>0</v>
      </c>
      <c r="L160" s="482">
        <f t="shared" ref="L160:AS160" si="160">L161</f>
        <v>0</v>
      </c>
      <c r="M160" s="482">
        <f t="shared" si="160"/>
        <v>0</v>
      </c>
      <c r="N160" s="482">
        <f t="shared" si="160"/>
        <v>0</v>
      </c>
      <c r="O160" s="482">
        <f t="shared" si="160"/>
        <v>0</v>
      </c>
      <c r="P160" s="482">
        <f t="shared" si="160"/>
        <v>0</v>
      </c>
      <c r="Q160" s="482">
        <f t="shared" si="160"/>
        <v>0</v>
      </c>
      <c r="R160" s="482">
        <f t="shared" si="160"/>
        <v>0</v>
      </c>
      <c r="S160" s="482">
        <f t="shared" si="160"/>
        <v>8399</v>
      </c>
      <c r="T160" s="482">
        <f t="shared" si="160"/>
        <v>8399</v>
      </c>
      <c r="U160" s="482">
        <f t="shared" si="160"/>
        <v>0</v>
      </c>
      <c r="V160" s="482">
        <f t="shared" si="160"/>
        <v>0</v>
      </c>
      <c r="W160" s="482">
        <f t="shared" si="160"/>
        <v>0</v>
      </c>
      <c r="X160" s="482">
        <f t="shared" si="160"/>
        <v>0</v>
      </c>
      <c r="Y160" s="482">
        <f t="shared" si="160"/>
        <v>0</v>
      </c>
      <c r="Z160" s="482">
        <f t="shared" si="160"/>
        <v>0</v>
      </c>
      <c r="AA160" s="482">
        <f t="shared" si="160"/>
        <v>0</v>
      </c>
      <c r="AB160" s="482">
        <f t="shared" si="160"/>
        <v>0</v>
      </c>
      <c r="AC160" s="482">
        <f t="shared" si="160"/>
        <v>0</v>
      </c>
      <c r="AD160" s="482">
        <f t="shared" si="160"/>
        <v>0</v>
      </c>
      <c r="AE160" s="482">
        <f t="shared" si="160"/>
        <v>0</v>
      </c>
      <c r="AF160" s="482">
        <f t="shared" si="160"/>
        <v>0</v>
      </c>
      <c r="AG160" s="482">
        <f t="shared" si="160"/>
        <v>0</v>
      </c>
      <c r="AH160" s="482">
        <f t="shared" si="160"/>
        <v>0</v>
      </c>
      <c r="AI160" s="482">
        <f t="shared" si="160"/>
        <v>0</v>
      </c>
      <c r="AJ160" s="482"/>
      <c r="AK160" s="482"/>
      <c r="AL160" s="482">
        <f t="shared" si="160"/>
        <v>228</v>
      </c>
      <c r="AM160" s="482">
        <f t="shared" si="160"/>
        <v>228</v>
      </c>
      <c r="AN160" s="482">
        <f t="shared" si="160"/>
        <v>0</v>
      </c>
      <c r="AO160" s="482">
        <f t="shared" si="160"/>
        <v>0</v>
      </c>
      <c r="AP160" s="482">
        <f t="shared" si="160"/>
        <v>228</v>
      </c>
      <c r="AQ160" s="482">
        <f t="shared" si="160"/>
        <v>228</v>
      </c>
      <c r="AR160" s="482">
        <f t="shared" si="160"/>
        <v>0</v>
      </c>
      <c r="AS160" s="482">
        <f t="shared" si="160"/>
        <v>0</v>
      </c>
      <c r="AT160" s="627"/>
      <c r="AU160" s="489">
        <f t="shared" si="158"/>
        <v>0</v>
      </c>
      <c r="AV160" s="489"/>
      <c r="AW160" s="551"/>
      <c r="AX160" s="537"/>
      <c r="BG160" s="488">
        <f t="shared" si="137"/>
        <v>0</v>
      </c>
    </row>
    <row r="161" spans="1:59" s="81" customFormat="1" ht="59.25" customHeight="1">
      <c r="A161" s="556" t="s">
        <v>35</v>
      </c>
      <c r="B161" s="557" t="s">
        <v>45</v>
      </c>
      <c r="C161" s="627"/>
      <c r="D161" s="627"/>
      <c r="E161" s="627"/>
      <c r="F161" s="627"/>
      <c r="G161" s="627"/>
      <c r="H161" s="627"/>
      <c r="I161" s="627"/>
      <c r="J161" s="558"/>
      <c r="K161" s="482">
        <f>SUM(K163:K164)</f>
        <v>0</v>
      </c>
      <c r="L161" s="482">
        <f t="shared" ref="L161:AS161" si="161">SUM(L163:L164)</f>
        <v>0</v>
      </c>
      <c r="M161" s="482">
        <f t="shared" si="161"/>
        <v>0</v>
      </c>
      <c r="N161" s="482">
        <f t="shared" si="161"/>
        <v>0</v>
      </c>
      <c r="O161" s="482">
        <f t="shared" si="161"/>
        <v>0</v>
      </c>
      <c r="P161" s="482">
        <f t="shared" si="161"/>
        <v>0</v>
      </c>
      <c r="Q161" s="482">
        <f t="shared" si="161"/>
        <v>0</v>
      </c>
      <c r="R161" s="482">
        <f t="shared" si="161"/>
        <v>0</v>
      </c>
      <c r="S161" s="482">
        <f t="shared" si="161"/>
        <v>8399</v>
      </c>
      <c r="T161" s="482">
        <f t="shared" si="161"/>
        <v>8399</v>
      </c>
      <c r="U161" s="482">
        <f t="shared" si="161"/>
        <v>0</v>
      </c>
      <c r="V161" s="482">
        <f t="shared" si="161"/>
        <v>0</v>
      </c>
      <c r="W161" s="482">
        <f t="shared" ref="W161" si="162">SUM(W163:W164)</f>
        <v>0</v>
      </c>
      <c r="X161" s="482">
        <f t="shared" si="161"/>
        <v>0</v>
      </c>
      <c r="Y161" s="482">
        <f t="shared" si="161"/>
        <v>0</v>
      </c>
      <c r="Z161" s="482">
        <f t="shared" si="161"/>
        <v>0</v>
      </c>
      <c r="AA161" s="482">
        <f t="shared" si="161"/>
        <v>0</v>
      </c>
      <c r="AB161" s="482">
        <f t="shared" si="161"/>
        <v>0</v>
      </c>
      <c r="AC161" s="482">
        <f t="shared" si="161"/>
        <v>0</v>
      </c>
      <c r="AD161" s="482">
        <f t="shared" si="161"/>
        <v>0</v>
      </c>
      <c r="AE161" s="482">
        <f t="shared" si="161"/>
        <v>0</v>
      </c>
      <c r="AF161" s="482">
        <f t="shared" si="161"/>
        <v>0</v>
      </c>
      <c r="AG161" s="482">
        <f t="shared" si="161"/>
        <v>0</v>
      </c>
      <c r="AH161" s="482">
        <f t="shared" si="161"/>
        <v>0</v>
      </c>
      <c r="AI161" s="482">
        <f t="shared" si="161"/>
        <v>0</v>
      </c>
      <c r="AJ161" s="482"/>
      <c r="AK161" s="482"/>
      <c r="AL161" s="482">
        <f t="shared" si="161"/>
        <v>228</v>
      </c>
      <c r="AM161" s="482">
        <f t="shared" si="161"/>
        <v>228</v>
      </c>
      <c r="AN161" s="482">
        <f t="shared" si="161"/>
        <v>0</v>
      </c>
      <c r="AO161" s="482">
        <f t="shared" si="161"/>
        <v>0</v>
      </c>
      <c r="AP161" s="482">
        <f t="shared" si="161"/>
        <v>228</v>
      </c>
      <c r="AQ161" s="482">
        <f>SUM(AQ163:AQ164)</f>
        <v>228</v>
      </c>
      <c r="AR161" s="482">
        <f t="shared" si="161"/>
        <v>0</v>
      </c>
      <c r="AS161" s="482">
        <f t="shared" si="161"/>
        <v>0</v>
      </c>
      <c r="AT161" s="627"/>
      <c r="AU161" s="489"/>
      <c r="AV161" s="489"/>
      <c r="AW161" s="551"/>
      <c r="AX161" s="537"/>
      <c r="BG161" s="488">
        <f t="shared" si="137"/>
        <v>0</v>
      </c>
    </row>
    <row r="162" spans="1:59" s="82" customFormat="1" ht="66.75" customHeight="1">
      <c r="A162" s="484">
        <v>1</v>
      </c>
      <c r="B162" s="611" t="s">
        <v>450</v>
      </c>
      <c r="C162" s="566" t="s">
        <v>428</v>
      </c>
      <c r="D162" s="566"/>
      <c r="E162" s="566"/>
      <c r="F162" s="566"/>
      <c r="G162" s="566"/>
      <c r="H162" s="566"/>
      <c r="I162" s="566"/>
      <c r="J162" s="563"/>
      <c r="K162" s="496"/>
      <c r="L162" s="496"/>
      <c r="M162" s="496"/>
      <c r="N162" s="496"/>
      <c r="O162" s="496"/>
      <c r="P162" s="496"/>
      <c r="Q162" s="496">
        <f t="shared" ref="Q162:R164" si="163">M162+X162</f>
        <v>390</v>
      </c>
      <c r="R162" s="496">
        <f t="shared" si="163"/>
        <v>390</v>
      </c>
      <c r="S162" s="496">
        <v>24422</v>
      </c>
      <c r="T162" s="496">
        <f>S162</f>
        <v>24422</v>
      </c>
      <c r="U162" s="496"/>
      <c r="V162" s="496"/>
      <c r="W162" s="496"/>
      <c r="X162" s="496">
        <v>390</v>
      </c>
      <c r="Y162" s="496">
        <v>390</v>
      </c>
      <c r="Z162" s="496"/>
      <c r="AA162" s="496"/>
      <c r="AB162" s="496"/>
      <c r="AC162" s="496"/>
      <c r="AD162" s="496"/>
      <c r="AE162" s="496"/>
      <c r="AF162" s="496"/>
      <c r="AG162" s="496"/>
      <c r="AH162" s="496">
        <f t="shared" ref="AH162:AI164" si="164">X162+AB162</f>
        <v>390</v>
      </c>
      <c r="AI162" s="496">
        <f t="shared" si="164"/>
        <v>390</v>
      </c>
      <c r="AJ162" s="496"/>
      <c r="AK162" s="496"/>
      <c r="AL162" s="496">
        <f>AP162</f>
        <v>0</v>
      </c>
      <c r="AM162" s="496">
        <f>AQ162</f>
        <v>0</v>
      </c>
      <c r="AN162" s="496">
        <f>AR162</f>
        <v>0</v>
      </c>
      <c r="AO162" s="496"/>
      <c r="AP162" s="496">
        <f>AQ162</f>
        <v>0</v>
      </c>
      <c r="AQ162" s="496"/>
      <c r="AR162" s="496"/>
      <c r="AS162" s="496"/>
      <c r="AT162" s="566"/>
      <c r="AU162" s="484">
        <f>AP162-AQ162</f>
        <v>0</v>
      </c>
      <c r="AV162" s="484">
        <f>V162-AA162</f>
        <v>0</v>
      </c>
      <c r="AW162" s="536"/>
      <c r="AX162" s="548"/>
      <c r="BG162" s="488">
        <f t="shared" ref="BG162" si="165">AL162-AQ162</f>
        <v>0</v>
      </c>
    </row>
    <row r="163" spans="1:59" s="82" customFormat="1" ht="59.25" customHeight="1">
      <c r="A163" s="484">
        <v>2</v>
      </c>
      <c r="B163" s="552" t="s">
        <v>453</v>
      </c>
      <c r="C163" s="545" t="s">
        <v>442</v>
      </c>
      <c r="D163" s="545"/>
      <c r="E163" s="566" t="s">
        <v>992</v>
      </c>
      <c r="F163" s="545"/>
      <c r="G163" s="545"/>
      <c r="H163" s="494"/>
      <c r="I163" s="494"/>
      <c r="J163" s="495"/>
      <c r="K163" s="496"/>
      <c r="L163" s="496"/>
      <c r="M163" s="496"/>
      <c r="N163" s="496"/>
      <c r="O163" s="496"/>
      <c r="P163" s="496"/>
      <c r="Q163" s="496">
        <f t="shared" si="163"/>
        <v>0</v>
      </c>
      <c r="R163" s="496">
        <f t="shared" si="163"/>
        <v>0</v>
      </c>
      <c r="S163" s="496">
        <v>5000</v>
      </c>
      <c r="T163" s="496">
        <v>5000</v>
      </c>
      <c r="U163" s="496"/>
      <c r="V163" s="496"/>
      <c r="W163" s="496"/>
      <c r="X163" s="496"/>
      <c r="Y163" s="496"/>
      <c r="Z163" s="496"/>
      <c r="AA163" s="496"/>
      <c r="AB163" s="496"/>
      <c r="AC163" s="496"/>
      <c r="AD163" s="496"/>
      <c r="AE163" s="496"/>
      <c r="AF163" s="496"/>
      <c r="AG163" s="496"/>
      <c r="AH163" s="482">
        <f t="shared" si="164"/>
        <v>0</v>
      </c>
      <c r="AI163" s="482">
        <f t="shared" si="164"/>
        <v>0</v>
      </c>
      <c r="AJ163" s="482"/>
      <c r="AK163" s="482"/>
      <c r="AL163" s="482">
        <f t="shared" ref="AL163:AO164" si="166">AP163</f>
        <v>128</v>
      </c>
      <c r="AM163" s="482">
        <f t="shared" si="166"/>
        <v>128</v>
      </c>
      <c r="AN163" s="482">
        <f t="shared" si="166"/>
        <v>0</v>
      </c>
      <c r="AO163" s="482">
        <f t="shared" si="166"/>
        <v>0</v>
      </c>
      <c r="AP163" s="496">
        <f>AQ163</f>
        <v>128</v>
      </c>
      <c r="AQ163" s="496">
        <v>128</v>
      </c>
      <c r="AR163" s="496"/>
      <c r="AS163" s="496"/>
      <c r="AT163" s="536"/>
      <c r="AU163" s="484">
        <f>AP163-AQ163</f>
        <v>0</v>
      </c>
      <c r="AV163" s="484">
        <f>V163-AA163</f>
        <v>0</v>
      </c>
      <c r="AW163" s="536"/>
      <c r="AX163" s="548">
        <f>T163</f>
        <v>5000</v>
      </c>
      <c r="BE163" s="82">
        <v>1</v>
      </c>
      <c r="BF163" s="82">
        <f>AQ163</f>
        <v>128</v>
      </c>
      <c r="BG163" s="488">
        <f t="shared" si="137"/>
        <v>0</v>
      </c>
    </row>
    <row r="164" spans="1:59" s="82" customFormat="1" ht="59.25" customHeight="1">
      <c r="A164" s="484">
        <v>3</v>
      </c>
      <c r="B164" s="565" t="s">
        <v>457</v>
      </c>
      <c r="C164" s="545" t="s">
        <v>442</v>
      </c>
      <c r="D164" s="545"/>
      <c r="E164" s="566" t="s">
        <v>992</v>
      </c>
      <c r="F164" s="545"/>
      <c r="G164" s="545"/>
      <c r="H164" s="494"/>
      <c r="I164" s="494"/>
      <c r="J164" s="495"/>
      <c r="K164" s="496"/>
      <c r="L164" s="496"/>
      <c r="M164" s="496"/>
      <c r="N164" s="496"/>
      <c r="O164" s="496"/>
      <c r="P164" s="496"/>
      <c r="Q164" s="496">
        <f t="shared" si="163"/>
        <v>0</v>
      </c>
      <c r="R164" s="496">
        <f t="shared" si="163"/>
        <v>0</v>
      </c>
      <c r="S164" s="496">
        <v>3399</v>
      </c>
      <c r="T164" s="496">
        <f>S164</f>
        <v>3399</v>
      </c>
      <c r="U164" s="496"/>
      <c r="V164" s="496"/>
      <c r="W164" s="496"/>
      <c r="X164" s="496"/>
      <c r="Y164" s="496"/>
      <c r="Z164" s="496"/>
      <c r="AA164" s="496"/>
      <c r="AB164" s="496"/>
      <c r="AC164" s="496"/>
      <c r="AD164" s="496"/>
      <c r="AE164" s="496"/>
      <c r="AF164" s="496"/>
      <c r="AG164" s="496"/>
      <c r="AH164" s="482">
        <f t="shared" si="164"/>
        <v>0</v>
      </c>
      <c r="AI164" s="482">
        <f t="shared" si="164"/>
        <v>0</v>
      </c>
      <c r="AJ164" s="482"/>
      <c r="AK164" s="482"/>
      <c r="AL164" s="482">
        <f t="shared" si="166"/>
        <v>100</v>
      </c>
      <c r="AM164" s="482">
        <f t="shared" si="166"/>
        <v>100</v>
      </c>
      <c r="AN164" s="482">
        <f t="shared" si="166"/>
        <v>0</v>
      </c>
      <c r="AO164" s="482">
        <f t="shared" si="166"/>
        <v>0</v>
      </c>
      <c r="AP164" s="496">
        <f>AQ164</f>
        <v>100</v>
      </c>
      <c r="AQ164" s="496">
        <v>100</v>
      </c>
      <c r="AR164" s="496"/>
      <c r="AS164" s="496"/>
      <c r="AT164" s="536"/>
      <c r="AU164" s="484">
        <f>AP164-AQ164</f>
        <v>0</v>
      </c>
      <c r="AV164" s="484">
        <f>V164-AA164</f>
        <v>0</v>
      </c>
      <c r="AW164" s="536"/>
      <c r="AX164" s="548"/>
      <c r="BE164" s="82">
        <v>1</v>
      </c>
      <c r="BG164" s="488">
        <f t="shared" si="137"/>
        <v>0</v>
      </c>
    </row>
    <row r="165" spans="1:59" s="82" customFormat="1" ht="59.25" customHeight="1">
      <c r="A165" s="484"/>
      <c r="B165" s="611"/>
      <c r="C165" s="566"/>
      <c r="D165" s="566"/>
      <c r="E165" s="566"/>
      <c r="F165" s="566"/>
      <c r="G165" s="566"/>
      <c r="H165" s="566"/>
      <c r="I165" s="566"/>
      <c r="J165" s="563"/>
      <c r="K165" s="496"/>
      <c r="L165" s="579"/>
      <c r="M165" s="496"/>
      <c r="N165" s="496"/>
      <c r="O165" s="496"/>
      <c r="P165" s="496"/>
      <c r="Q165" s="496"/>
      <c r="R165" s="496"/>
      <c r="S165" s="579"/>
      <c r="T165" s="496"/>
      <c r="U165" s="496"/>
      <c r="V165" s="496"/>
      <c r="W165" s="496"/>
      <c r="X165" s="496"/>
      <c r="Y165" s="496"/>
      <c r="Z165" s="496"/>
      <c r="AA165" s="496"/>
      <c r="AB165" s="496"/>
      <c r="AC165" s="496"/>
      <c r="AD165" s="496"/>
      <c r="AE165" s="496"/>
      <c r="AF165" s="496"/>
      <c r="AG165" s="496"/>
      <c r="AH165" s="482"/>
      <c r="AI165" s="482"/>
      <c r="AJ165" s="482"/>
      <c r="AK165" s="482"/>
      <c r="AL165" s="482"/>
      <c r="AM165" s="482"/>
      <c r="AN165" s="482"/>
      <c r="AO165" s="482"/>
      <c r="AP165" s="496"/>
      <c r="AQ165" s="496"/>
      <c r="AR165" s="496"/>
      <c r="AS165" s="496"/>
      <c r="AT165" s="566"/>
      <c r="AU165" s="484"/>
      <c r="AV165" s="484"/>
      <c r="AW165" s="536"/>
      <c r="AX165" s="548"/>
      <c r="BG165" s="488">
        <f t="shared" si="137"/>
        <v>0</v>
      </c>
    </row>
    <row r="166" spans="1:59" s="82" customFormat="1" ht="59.25" customHeight="1">
      <c r="A166" s="484">
        <v>12</v>
      </c>
      <c r="B166" s="552" t="s">
        <v>452</v>
      </c>
      <c r="C166" s="545" t="s">
        <v>442</v>
      </c>
      <c r="D166" s="545"/>
      <c r="E166" s="545"/>
      <c r="F166" s="545"/>
      <c r="G166" s="545"/>
      <c r="H166" s="494"/>
      <c r="I166" s="494"/>
      <c r="J166" s="495"/>
      <c r="K166" s="496"/>
      <c r="L166" s="496"/>
      <c r="M166" s="496"/>
      <c r="N166" s="496"/>
      <c r="O166" s="496"/>
      <c r="P166" s="496"/>
      <c r="Q166" s="496">
        <f t="shared" ref="Q166:R169" si="167">M166+X166</f>
        <v>0</v>
      </c>
      <c r="R166" s="496">
        <f t="shared" si="167"/>
        <v>0</v>
      </c>
      <c r="S166" s="496">
        <v>5000</v>
      </c>
      <c r="T166" s="496">
        <v>5000</v>
      </c>
      <c r="U166" s="496"/>
      <c r="V166" s="496"/>
      <c r="W166" s="496"/>
      <c r="X166" s="496"/>
      <c r="Y166" s="496"/>
      <c r="Z166" s="496"/>
      <c r="AA166" s="496"/>
      <c r="AB166" s="496"/>
      <c r="AC166" s="496"/>
      <c r="AD166" s="496"/>
      <c r="AE166" s="496"/>
      <c r="AF166" s="496"/>
      <c r="AG166" s="496"/>
      <c r="AH166" s="482">
        <f t="shared" si="148"/>
        <v>0</v>
      </c>
      <c r="AI166" s="482">
        <f t="shared" si="149"/>
        <v>0</v>
      </c>
      <c r="AJ166" s="482"/>
      <c r="AK166" s="482"/>
      <c r="AL166" s="482">
        <f t="shared" si="152"/>
        <v>0</v>
      </c>
      <c r="AM166" s="482">
        <f t="shared" si="153"/>
        <v>0</v>
      </c>
      <c r="AN166" s="482">
        <f t="shared" si="150"/>
        <v>0</v>
      </c>
      <c r="AO166" s="482">
        <f t="shared" si="151"/>
        <v>0</v>
      </c>
      <c r="AP166" s="496"/>
      <c r="AQ166" s="496"/>
      <c r="AR166" s="496"/>
      <c r="AS166" s="496"/>
      <c r="AT166" s="536"/>
      <c r="AU166" s="484">
        <f t="shared" si="158"/>
        <v>0</v>
      </c>
      <c r="AV166" s="484">
        <f t="shared" si="155"/>
        <v>0</v>
      </c>
      <c r="AW166" s="536">
        <f>AB166</f>
        <v>0</v>
      </c>
      <c r="AX166" s="548">
        <f>T166</f>
        <v>5000</v>
      </c>
      <c r="BG166" s="488">
        <f t="shared" si="137"/>
        <v>0</v>
      </c>
    </row>
    <row r="167" spans="1:59" s="82" customFormat="1" ht="59.25" customHeight="1">
      <c r="A167" s="484">
        <v>14</v>
      </c>
      <c r="B167" s="552" t="s">
        <v>454</v>
      </c>
      <c r="C167" s="545" t="s">
        <v>442</v>
      </c>
      <c r="D167" s="545"/>
      <c r="E167" s="545"/>
      <c r="F167" s="545"/>
      <c r="G167" s="545"/>
      <c r="H167" s="494"/>
      <c r="I167" s="494"/>
      <c r="J167" s="495"/>
      <c r="K167" s="496"/>
      <c r="L167" s="496"/>
      <c r="M167" s="496"/>
      <c r="N167" s="496"/>
      <c r="O167" s="496"/>
      <c r="P167" s="496"/>
      <c r="Q167" s="496">
        <f t="shared" si="167"/>
        <v>0</v>
      </c>
      <c r="R167" s="496">
        <f t="shared" si="167"/>
        <v>0</v>
      </c>
      <c r="S167" s="496">
        <v>3000</v>
      </c>
      <c r="T167" s="496">
        <f>S167</f>
        <v>3000</v>
      </c>
      <c r="U167" s="496"/>
      <c r="V167" s="496"/>
      <c r="W167" s="496"/>
      <c r="X167" s="496"/>
      <c r="Y167" s="496"/>
      <c r="Z167" s="496"/>
      <c r="AA167" s="496"/>
      <c r="AB167" s="496"/>
      <c r="AC167" s="496"/>
      <c r="AD167" s="496"/>
      <c r="AE167" s="496"/>
      <c r="AF167" s="496"/>
      <c r="AG167" s="496"/>
      <c r="AH167" s="482">
        <f t="shared" si="148"/>
        <v>0</v>
      </c>
      <c r="AI167" s="482">
        <f t="shared" si="149"/>
        <v>0</v>
      </c>
      <c r="AJ167" s="482"/>
      <c r="AK167" s="482"/>
      <c r="AL167" s="482">
        <f t="shared" si="152"/>
        <v>0</v>
      </c>
      <c r="AM167" s="482">
        <f t="shared" si="153"/>
        <v>0</v>
      </c>
      <c r="AN167" s="482">
        <f t="shared" si="150"/>
        <v>0</v>
      </c>
      <c r="AO167" s="482">
        <f t="shared" si="151"/>
        <v>0</v>
      </c>
      <c r="AP167" s="496"/>
      <c r="AQ167" s="496"/>
      <c r="AR167" s="496"/>
      <c r="AS167" s="496"/>
      <c r="AT167" s="536" t="s">
        <v>455</v>
      </c>
      <c r="AU167" s="484">
        <f t="shared" si="158"/>
        <v>0</v>
      </c>
      <c r="AV167" s="484">
        <f t="shared" si="155"/>
        <v>0</v>
      </c>
      <c r="AW167" s="536"/>
      <c r="AX167" s="548"/>
      <c r="BG167" s="488">
        <f t="shared" si="137"/>
        <v>0</v>
      </c>
    </row>
    <row r="168" spans="1:59" s="82" customFormat="1" ht="59.25" customHeight="1">
      <c r="A168" s="484">
        <v>15</v>
      </c>
      <c r="B168" s="565" t="s">
        <v>456</v>
      </c>
      <c r="C168" s="545" t="s">
        <v>442</v>
      </c>
      <c r="D168" s="545"/>
      <c r="E168" s="545"/>
      <c r="F168" s="545"/>
      <c r="G168" s="545"/>
      <c r="H168" s="494"/>
      <c r="I168" s="494"/>
      <c r="J168" s="495"/>
      <c r="K168" s="496"/>
      <c r="L168" s="496"/>
      <c r="M168" s="496"/>
      <c r="N168" s="496"/>
      <c r="O168" s="496"/>
      <c r="P168" s="496"/>
      <c r="Q168" s="496">
        <f t="shared" si="167"/>
        <v>0</v>
      </c>
      <c r="R168" s="496">
        <f t="shared" si="167"/>
        <v>0</v>
      </c>
      <c r="S168" s="496">
        <v>3500</v>
      </c>
      <c r="T168" s="496">
        <f>S168</f>
        <v>3500</v>
      </c>
      <c r="U168" s="496"/>
      <c r="V168" s="496"/>
      <c r="W168" s="496"/>
      <c r="X168" s="496"/>
      <c r="Y168" s="496"/>
      <c r="Z168" s="496"/>
      <c r="AA168" s="496"/>
      <c r="AB168" s="496"/>
      <c r="AC168" s="496"/>
      <c r="AD168" s="496"/>
      <c r="AE168" s="496"/>
      <c r="AF168" s="496"/>
      <c r="AG168" s="496"/>
      <c r="AH168" s="482">
        <f t="shared" si="148"/>
        <v>0</v>
      </c>
      <c r="AI168" s="482">
        <f t="shared" si="149"/>
        <v>0</v>
      </c>
      <c r="AJ168" s="482"/>
      <c r="AK168" s="482"/>
      <c r="AL168" s="482">
        <f t="shared" si="152"/>
        <v>0</v>
      </c>
      <c r="AM168" s="482">
        <f t="shared" si="153"/>
        <v>0</v>
      </c>
      <c r="AN168" s="482">
        <f t="shared" si="150"/>
        <v>0</v>
      </c>
      <c r="AO168" s="482">
        <f t="shared" si="151"/>
        <v>0</v>
      </c>
      <c r="AP168" s="496"/>
      <c r="AQ168" s="496"/>
      <c r="AR168" s="496"/>
      <c r="AS168" s="496"/>
      <c r="AT168" s="536"/>
      <c r="AU168" s="484">
        <f t="shared" si="158"/>
        <v>0</v>
      </c>
      <c r="AV168" s="484">
        <f t="shared" si="155"/>
        <v>0</v>
      </c>
      <c r="AW168" s="536"/>
      <c r="AX168" s="548"/>
      <c r="BG168" s="488">
        <f t="shared" si="137"/>
        <v>0</v>
      </c>
    </row>
    <row r="169" spans="1:59" s="82" customFormat="1" ht="59.25" customHeight="1">
      <c r="A169" s="484">
        <v>17</v>
      </c>
      <c r="B169" s="522" t="s">
        <v>458</v>
      </c>
      <c r="C169" s="545" t="s">
        <v>442</v>
      </c>
      <c r="D169" s="545"/>
      <c r="E169" s="545"/>
      <c r="F169" s="545"/>
      <c r="G169" s="545"/>
      <c r="H169" s="494"/>
      <c r="I169" s="494" t="s">
        <v>395</v>
      </c>
      <c r="J169" s="495"/>
      <c r="K169" s="496"/>
      <c r="L169" s="496" t="s">
        <v>315</v>
      </c>
      <c r="M169" s="496"/>
      <c r="N169" s="496"/>
      <c r="O169" s="496"/>
      <c r="P169" s="496"/>
      <c r="Q169" s="496">
        <f t="shared" si="167"/>
        <v>0</v>
      </c>
      <c r="R169" s="496">
        <f t="shared" si="167"/>
        <v>0</v>
      </c>
      <c r="S169" s="496"/>
      <c r="T169" s="496"/>
      <c r="U169" s="496"/>
      <c r="V169" s="496"/>
      <c r="W169" s="496"/>
      <c r="X169" s="496"/>
      <c r="Y169" s="496"/>
      <c r="Z169" s="496"/>
      <c r="AA169" s="496"/>
      <c r="AB169" s="496"/>
      <c r="AC169" s="496"/>
      <c r="AD169" s="496"/>
      <c r="AE169" s="496"/>
      <c r="AF169" s="496"/>
      <c r="AG169" s="496"/>
      <c r="AH169" s="482">
        <f t="shared" si="148"/>
        <v>0</v>
      </c>
      <c r="AI169" s="482">
        <f t="shared" si="149"/>
        <v>0</v>
      </c>
      <c r="AJ169" s="482"/>
      <c r="AK169" s="482"/>
      <c r="AL169" s="482">
        <f t="shared" si="152"/>
        <v>0</v>
      </c>
      <c r="AM169" s="482">
        <f t="shared" si="153"/>
        <v>0</v>
      </c>
      <c r="AN169" s="482">
        <f t="shared" si="150"/>
        <v>0</v>
      </c>
      <c r="AO169" s="482">
        <f t="shared" si="151"/>
        <v>0</v>
      </c>
      <c r="AP169" s="496"/>
      <c r="AQ169" s="496"/>
      <c r="AR169" s="496"/>
      <c r="AS169" s="496"/>
      <c r="AT169" s="536"/>
      <c r="AU169" s="484">
        <f t="shared" si="158"/>
        <v>0</v>
      </c>
      <c r="AV169" s="484">
        <f t="shared" si="155"/>
        <v>0</v>
      </c>
      <c r="AW169" s="582"/>
      <c r="AX169" s="548"/>
      <c r="BG169" s="488">
        <f t="shared" si="137"/>
        <v>0</v>
      </c>
    </row>
    <row r="170" spans="1:59" s="82" customFormat="1" ht="59.25" customHeight="1">
      <c r="A170" s="484"/>
      <c r="B170" s="552"/>
      <c r="C170" s="545"/>
      <c r="D170" s="545"/>
      <c r="E170" s="545"/>
      <c r="F170" s="545"/>
      <c r="G170" s="545"/>
      <c r="H170" s="494" t="s">
        <v>315</v>
      </c>
      <c r="I170" s="494"/>
      <c r="J170" s="495"/>
      <c r="K170" s="496"/>
      <c r="L170" s="496"/>
      <c r="M170" s="496"/>
      <c r="N170" s="496"/>
      <c r="O170" s="496"/>
      <c r="P170" s="496"/>
      <c r="Q170" s="496"/>
      <c r="R170" s="496"/>
      <c r="S170" s="496"/>
      <c r="T170" s="496"/>
      <c r="U170" s="496"/>
      <c r="V170" s="496"/>
      <c r="W170" s="496"/>
      <c r="X170" s="496"/>
      <c r="Y170" s="496"/>
      <c r="Z170" s="496"/>
      <c r="AA170" s="496"/>
      <c r="AB170" s="496"/>
      <c r="AC170" s="496"/>
      <c r="AD170" s="496"/>
      <c r="AE170" s="496"/>
      <c r="AF170" s="496"/>
      <c r="AG170" s="496"/>
      <c r="AH170" s="482">
        <f t="shared" si="148"/>
        <v>0</v>
      </c>
      <c r="AI170" s="482">
        <f t="shared" si="149"/>
        <v>0</v>
      </c>
      <c r="AJ170" s="482"/>
      <c r="AK170" s="482"/>
      <c r="AL170" s="482">
        <f t="shared" si="152"/>
        <v>0</v>
      </c>
      <c r="AM170" s="482">
        <f t="shared" si="153"/>
        <v>0</v>
      </c>
      <c r="AN170" s="482">
        <f t="shared" si="150"/>
        <v>0</v>
      </c>
      <c r="AO170" s="482">
        <f t="shared" si="151"/>
        <v>0</v>
      </c>
      <c r="AP170" s="496"/>
      <c r="AQ170" s="496"/>
      <c r="AR170" s="496"/>
      <c r="AS170" s="496"/>
      <c r="AT170" s="536"/>
      <c r="AU170" s="484">
        <f t="shared" si="158"/>
        <v>0</v>
      </c>
      <c r="AV170" s="484">
        <f t="shared" si="155"/>
        <v>0</v>
      </c>
      <c r="AW170" s="536"/>
      <c r="AX170" s="548"/>
      <c r="BG170" s="488">
        <f t="shared" si="137"/>
        <v>0</v>
      </c>
    </row>
    <row r="171" spans="1:59" s="81" customFormat="1" ht="59.25" customHeight="1">
      <c r="A171" s="533"/>
      <c r="B171" s="479" t="s">
        <v>331</v>
      </c>
      <c r="C171" s="480"/>
      <c r="D171" s="480"/>
      <c r="E171" s="480"/>
      <c r="F171" s="480"/>
      <c r="G171" s="480"/>
      <c r="H171" s="480"/>
      <c r="I171" s="480"/>
      <c r="J171" s="481"/>
      <c r="K171" s="482"/>
      <c r="L171" s="482"/>
      <c r="M171" s="482"/>
      <c r="N171" s="482"/>
      <c r="O171" s="482"/>
      <c r="P171" s="482"/>
      <c r="Q171" s="496"/>
      <c r="R171" s="496"/>
      <c r="S171" s="482"/>
      <c r="T171" s="482"/>
      <c r="U171" s="482"/>
      <c r="V171" s="482"/>
      <c r="W171" s="482"/>
      <c r="X171" s="482"/>
      <c r="Y171" s="482"/>
      <c r="Z171" s="482"/>
      <c r="AA171" s="482"/>
      <c r="AB171" s="482"/>
      <c r="AC171" s="482">
        <v>20832</v>
      </c>
      <c r="AD171" s="482"/>
      <c r="AE171" s="482"/>
      <c r="AF171" s="482"/>
      <c r="AG171" s="482"/>
      <c r="AH171" s="482">
        <f t="shared" si="148"/>
        <v>0</v>
      </c>
      <c r="AI171" s="482"/>
      <c r="AJ171" s="482"/>
      <c r="AK171" s="482"/>
      <c r="AL171" s="482"/>
      <c r="AM171" s="482"/>
      <c r="AN171" s="482">
        <f t="shared" si="150"/>
        <v>0</v>
      </c>
      <c r="AO171" s="482">
        <f t="shared" si="151"/>
        <v>0</v>
      </c>
      <c r="AP171" s="482"/>
      <c r="AQ171" s="482">
        <v>21840</v>
      </c>
      <c r="AR171" s="482"/>
      <c r="AS171" s="482"/>
      <c r="AT171" s="551">
        <f>AQ171-AQ172</f>
        <v>0</v>
      </c>
      <c r="AU171" s="484">
        <f t="shared" si="158"/>
        <v>-21840</v>
      </c>
      <c r="AV171" s="484">
        <f t="shared" si="155"/>
        <v>0</v>
      </c>
      <c r="AW171" s="551"/>
      <c r="AX171" s="537"/>
      <c r="BG171" s="488">
        <f t="shared" si="137"/>
        <v>-21840</v>
      </c>
    </row>
    <row r="172" spans="1:59" s="81" customFormat="1" ht="59.25" customHeight="1">
      <c r="A172" s="533" t="s">
        <v>138</v>
      </c>
      <c r="B172" s="534" t="s">
        <v>459</v>
      </c>
      <c r="C172" s="480"/>
      <c r="D172" s="480"/>
      <c r="E172" s="480"/>
      <c r="F172" s="480"/>
      <c r="G172" s="480"/>
      <c r="H172" s="540"/>
      <c r="I172" s="480"/>
      <c r="J172" s="481"/>
      <c r="K172" s="482">
        <f t="shared" ref="K172:AS172" si="168">K173+K178+K185+K191</f>
        <v>441551</v>
      </c>
      <c r="L172" s="482">
        <f t="shared" si="168"/>
        <v>106817</v>
      </c>
      <c r="M172" s="482">
        <f t="shared" si="168"/>
        <v>217569</v>
      </c>
      <c r="N172" s="482">
        <f t="shared" si="168"/>
        <v>0</v>
      </c>
      <c r="O172" s="482">
        <f t="shared" si="168"/>
        <v>0</v>
      </c>
      <c r="P172" s="482">
        <f t="shared" si="168"/>
        <v>0</v>
      </c>
      <c r="Q172" s="482">
        <f t="shared" si="168"/>
        <v>218410</v>
      </c>
      <c r="R172" s="482">
        <f t="shared" si="168"/>
        <v>841</v>
      </c>
      <c r="S172" s="482">
        <f t="shared" si="168"/>
        <v>167390</v>
      </c>
      <c r="T172" s="482">
        <f t="shared" si="168"/>
        <v>106017</v>
      </c>
      <c r="U172" s="482">
        <f t="shared" si="168"/>
        <v>0</v>
      </c>
      <c r="V172" s="482">
        <f t="shared" si="168"/>
        <v>0</v>
      </c>
      <c r="W172" s="482">
        <f t="shared" si="168"/>
        <v>53502</v>
      </c>
      <c r="X172" s="482">
        <f t="shared" si="168"/>
        <v>841</v>
      </c>
      <c r="Y172" s="482">
        <f t="shared" si="168"/>
        <v>841</v>
      </c>
      <c r="Z172" s="482">
        <f t="shared" si="168"/>
        <v>0</v>
      </c>
      <c r="AA172" s="482">
        <f t="shared" si="168"/>
        <v>0</v>
      </c>
      <c r="AB172" s="482">
        <f t="shared" si="168"/>
        <v>20506</v>
      </c>
      <c r="AC172" s="482">
        <f t="shared" si="168"/>
        <v>20306</v>
      </c>
      <c r="AD172" s="482">
        <f t="shared" si="168"/>
        <v>0</v>
      </c>
      <c r="AE172" s="482">
        <f t="shared" si="168"/>
        <v>0</v>
      </c>
      <c r="AF172" s="482">
        <f t="shared" si="168"/>
        <v>4277.598</v>
      </c>
      <c r="AG172" s="482">
        <f t="shared" si="168"/>
        <v>9605.51</v>
      </c>
      <c r="AH172" s="482">
        <f t="shared" si="168"/>
        <v>21347</v>
      </c>
      <c r="AI172" s="482">
        <f t="shared" si="168"/>
        <v>21147</v>
      </c>
      <c r="AJ172" s="482">
        <f t="shared" si="168"/>
        <v>0</v>
      </c>
      <c r="AK172" s="482">
        <f t="shared" si="168"/>
        <v>0</v>
      </c>
      <c r="AL172" s="482">
        <f t="shared" si="168"/>
        <v>30700</v>
      </c>
      <c r="AM172" s="482">
        <f t="shared" si="168"/>
        <v>30700</v>
      </c>
      <c r="AN172" s="482">
        <f t="shared" si="168"/>
        <v>0</v>
      </c>
      <c r="AO172" s="482">
        <f t="shared" si="168"/>
        <v>0</v>
      </c>
      <c r="AP172" s="482">
        <f t="shared" si="168"/>
        <v>21840</v>
      </c>
      <c r="AQ172" s="482">
        <f t="shared" si="168"/>
        <v>21840</v>
      </c>
      <c r="AR172" s="482">
        <f t="shared" si="168"/>
        <v>0</v>
      </c>
      <c r="AS172" s="482">
        <f t="shared" si="168"/>
        <v>0</v>
      </c>
      <c r="AT172" s="551"/>
      <c r="AU172" s="484">
        <f t="shared" si="158"/>
        <v>0</v>
      </c>
      <c r="AV172" s="484">
        <f t="shared" si="155"/>
        <v>0</v>
      </c>
      <c r="AW172" s="551"/>
      <c r="AX172" s="537"/>
      <c r="BG172" s="488">
        <f t="shared" si="137"/>
        <v>8860</v>
      </c>
    </row>
    <row r="173" spans="1:59" s="81" customFormat="1" ht="59.25" customHeight="1">
      <c r="A173" s="478" t="s">
        <v>33</v>
      </c>
      <c r="B173" s="539" t="s">
        <v>286</v>
      </c>
      <c r="C173" s="480"/>
      <c r="D173" s="480"/>
      <c r="E173" s="480"/>
      <c r="F173" s="480"/>
      <c r="G173" s="480"/>
      <c r="H173" s="480"/>
      <c r="I173" s="480"/>
      <c r="J173" s="481"/>
      <c r="K173" s="482">
        <f>K174</f>
        <v>44178</v>
      </c>
      <c r="L173" s="482">
        <f t="shared" ref="L173:AS173" si="169">L174</f>
        <v>6117</v>
      </c>
      <c r="M173" s="482">
        <f t="shared" si="169"/>
        <v>0</v>
      </c>
      <c r="N173" s="482">
        <f t="shared" si="169"/>
        <v>0</v>
      </c>
      <c r="O173" s="482">
        <f t="shared" si="169"/>
        <v>0</v>
      </c>
      <c r="P173" s="482">
        <f t="shared" si="169"/>
        <v>0</v>
      </c>
      <c r="Q173" s="482">
        <f t="shared" si="169"/>
        <v>0</v>
      </c>
      <c r="R173" s="482">
        <f t="shared" si="169"/>
        <v>0</v>
      </c>
      <c r="S173" s="482">
        <f t="shared" si="169"/>
        <v>6117</v>
      </c>
      <c r="T173" s="482">
        <f t="shared" si="169"/>
        <v>6117</v>
      </c>
      <c r="U173" s="482">
        <f t="shared" si="169"/>
        <v>0</v>
      </c>
      <c r="V173" s="482">
        <f t="shared" si="169"/>
        <v>0</v>
      </c>
      <c r="W173" s="482">
        <f t="shared" si="169"/>
        <v>38061</v>
      </c>
      <c r="X173" s="482">
        <f t="shared" si="169"/>
        <v>0</v>
      </c>
      <c r="Y173" s="482">
        <f t="shared" si="169"/>
        <v>0</v>
      </c>
      <c r="Z173" s="482">
        <f t="shared" si="169"/>
        <v>0</v>
      </c>
      <c r="AA173" s="482">
        <f t="shared" si="169"/>
        <v>0</v>
      </c>
      <c r="AB173" s="482">
        <f t="shared" si="169"/>
        <v>0</v>
      </c>
      <c r="AC173" s="482">
        <f t="shared" si="169"/>
        <v>0</v>
      </c>
      <c r="AD173" s="482">
        <f t="shared" si="169"/>
        <v>0</v>
      </c>
      <c r="AE173" s="482">
        <f t="shared" si="169"/>
        <v>0</v>
      </c>
      <c r="AF173" s="482">
        <f t="shared" si="169"/>
        <v>0</v>
      </c>
      <c r="AG173" s="482">
        <f t="shared" si="169"/>
        <v>0</v>
      </c>
      <c r="AH173" s="482">
        <f t="shared" si="169"/>
        <v>0</v>
      </c>
      <c r="AI173" s="482">
        <f t="shared" si="169"/>
        <v>0</v>
      </c>
      <c r="AJ173" s="482"/>
      <c r="AK173" s="482"/>
      <c r="AL173" s="482">
        <f t="shared" si="169"/>
        <v>0</v>
      </c>
      <c r="AM173" s="482">
        <f t="shared" si="169"/>
        <v>0</v>
      </c>
      <c r="AN173" s="482">
        <f t="shared" si="169"/>
        <v>0</v>
      </c>
      <c r="AO173" s="482">
        <f t="shared" si="169"/>
        <v>0</v>
      </c>
      <c r="AP173" s="482">
        <f t="shared" si="169"/>
        <v>2141</v>
      </c>
      <c r="AQ173" s="482">
        <f t="shared" si="169"/>
        <v>2141</v>
      </c>
      <c r="AR173" s="482">
        <f t="shared" si="169"/>
        <v>0</v>
      </c>
      <c r="AS173" s="482">
        <f t="shared" si="169"/>
        <v>0</v>
      </c>
      <c r="AT173" s="480"/>
      <c r="AU173" s="484">
        <f t="shared" si="158"/>
        <v>0</v>
      </c>
      <c r="AV173" s="484"/>
      <c r="AW173" s="576"/>
      <c r="AX173" s="537"/>
      <c r="BG173" s="488">
        <f t="shared" ref="BG173:BG196" si="170">AL173-AQ173</f>
        <v>-2141</v>
      </c>
    </row>
    <row r="174" spans="1:59" s="81" customFormat="1" ht="59.25" customHeight="1">
      <c r="A174" s="556" t="s">
        <v>35</v>
      </c>
      <c r="B174" s="557" t="s">
        <v>43</v>
      </c>
      <c r="C174" s="480"/>
      <c r="D174" s="480"/>
      <c r="E174" s="480"/>
      <c r="F174" s="480"/>
      <c r="G174" s="480"/>
      <c r="H174" s="480"/>
      <c r="I174" s="480"/>
      <c r="J174" s="481"/>
      <c r="K174" s="482">
        <f>K175</f>
        <v>44178</v>
      </c>
      <c r="L174" s="482">
        <f t="shared" ref="L174:AS174" si="171">L175</f>
        <v>6117</v>
      </c>
      <c r="M174" s="482">
        <f t="shared" si="171"/>
        <v>0</v>
      </c>
      <c r="N174" s="482">
        <f t="shared" si="171"/>
        <v>0</v>
      </c>
      <c r="O174" s="482">
        <f t="shared" si="171"/>
        <v>0</v>
      </c>
      <c r="P174" s="482">
        <f t="shared" si="171"/>
        <v>0</v>
      </c>
      <c r="Q174" s="482">
        <f t="shared" si="171"/>
        <v>0</v>
      </c>
      <c r="R174" s="482">
        <f t="shared" si="171"/>
        <v>0</v>
      </c>
      <c r="S174" s="482">
        <f t="shared" si="171"/>
        <v>6117</v>
      </c>
      <c r="T174" s="482">
        <f t="shared" si="171"/>
        <v>6117</v>
      </c>
      <c r="U174" s="482">
        <f t="shared" si="171"/>
        <v>0</v>
      </c>
      <c r="V174" s="482">
        <f t="shared" si="171"/>
        <v>0</v>
      </c>
      <c r="W174" s="482">
        <f t="shared" si="171"/>
        <v>38061</v>
      </c>
      <c r="X174" s="482">
        <f t="shared" si="171"/>
        <v>0</v>
      </c>
      <c r="Y174" s="482">
        <f t="shared" si="171"/>
        <v>0</v>
      </c>
      <c r="Z174" s="482">
        <f t="shared" si="171"/>
        <v>0</v>
      </c>
      <c r="AA174" s="482">
        <f t="shared" si="171"/>
        <v>0</v>
      </c>
      <c r="AB174" s="482">
        <f t="shared" si="171"/>
        <v>0</v>
      </c>
      <c r="AC174" s="482">
        <f t="shared" si="171"/>
        <v>0</v>
      </c>
      <c r="AD174" s="482">
        <f t="shared" si="171"/>
        <v>0</v>
      </c>
      <c r="AE174" s="482">
        <f t="shared" si="171"/>
        <v>0</v>
      </c>
      <c r="AF174" s="482">
        <f t="shared" si="171"/>
        <v>0</v>
      </c>
      <c r="AG174" s="482">
        <f t="shared" si="171"/>
        <v>0</v>
      </c>
      <c r="AH174" s="482">
        <f t="shared" si="171"/>
        <v>0</v>
      </c>
      <c r="AI174" s="482">
        <f t="shared" si="171"/>
        <v>0</v>
      </c>
      <c r="AJ174" s="482">
        <f t="shared" si="171"/>
        <v>0</v>
      </c>
      <c r="AK174" s="482">
        <f t="shared" si="171"/>
        <v>0</v>
      </c>
      <c r="AL174" s="482">
        <f t="shared" si="171"/>
        <v>0</v>
      </c>
      <c r="AM174" s="482">
        <f t="shared" si="171"/>
        <v>0</v>
      </c>
      <c r="AN174" s="482">
        <f t="shared" si="171"/>
        <v>0</v>
      </c>
      <c r="AO174" s="482">
        <f t="shared" si="171"/>
        <v>0</v>
      </c>
      <c r="AP174" s="482">
        <f t="shared" si="171"/>
        <v>2141</v>
      </c>
      <c r="AQ174" s="482">
        <f t="shared" si="171"/>
        <v>2141</v>
      </c>
      <c r="AR174" s="482">
        <f t="shared" si="171"/>
        <v>0</v>
      </c>
      <c r="AS174" s="482">
        <f t="shared" si="171"/>
        <v>0</v>
      </c>
      <c r="AT174" s="480"/>
      <c r="AU174" s="484">
        <f t="shared" si="158"/>
        <v>0</v>
      </c>
      <c r="AV174" s="484"/>
      <c r="AW174" s="576"/>
      <c r="AX174" s="537"/>
      <c r="BG174" s="488">
        <f t="shared" si="170"/>
        <v>-2141</v>
      </c>
    </row>
    <row r="175" spans="1:59" s="82" customFormat="1" ht="59.25" customHeight="1">
      <c r="A175" s="559" t="s">
        <v>39</v>
      </c>
      <c r="B175" s="628" t="s">
        <v>1028</v>
      </c>
      <c r="C175" s="629"/>
      <c r="D175" s="629"/>
      <c r="E175" s="629" t="s">
        <v>993</v>
      </c>
      <c r="F175" s="629">
        <v>7247262</v>
      </c>
      <c r="G175" s="629"/>
      <c r="H175" s="494"/>
      <c r="I175" s="494" t="s">
        <v>1030</v>
      </c>
      <c r="J175" s="630" t="s">
        <v>1029</v>
      </c>
      <c r="K175" s="546">
        <v>44178</v>
      </c>
      <c r="L175" s="546">
        <v>6117</v>
      </c>
      <c r="M175" s="496"/>
      <c r="N175" s="496"/>
      <c r="O175" s="496"/>
      <c r="P175" s="496"/>
      <c r="Q175" s="496"/>
      <c r="R175" s="496"/>
      <c r="S175" s="496">
        <f>T175</f>
        <v>6117</v>
      </c>
      <c r="T175" s="496">
        <v>6117</v>
      </c>
      <c r="U175" s="496"/>
      <c r="V175" s="496"/>
      <c r="W175" s="496">
        <f>K175-T175</f>
        <v>38061</v>
      </c>
      <c r="X175" s="496"/>
      <c r="Y175" s="496"/>
      <c r="Z175" s="496"/>
      <c r="AA175" s="496"/>
      <c r="AB175" s="496"/>
      <c r="AC175" s="496"/>
      <c r="AD175" s="520"/>
      <c r="AE175" s="520"/>
      <c r="AF175" s="520"/>
      <c r="AG175" s="520"/>
      <c r="AH175" s="496"/>
      <c r="AI175" s="496"/>
      <c r="AJ175" s="496"/>
      <c r="AK175" s="496"/>
      <c r="AL175" s="496"/>
      <c r="AM175" s="496"/>
      <c r="AN175" s="496"/>
      <c r="AO175" s="496"/>
      <c r="AP175" s="520">
        <f>AQ175</f>
        <v>2141</v>
      </c>
      <c r="AQ175" s="520">
        <v>2141</v>
      </c>
      <c r="AR175" s="520"/>
      <c r="AS175" s="520"/>
      <c r="AT175" s="553"/>
      <c r="AU175" s="484"/>
      <c r="AV175" s="484"/>
      <c r="AW175" s="553"/>
      <c r="AX175" s="548"/>
      <c r="BF175" s="631">
        <f>AQ175</f>
        <v>2141</v>
      </c>
      <c r="BG175" s="488"/>
    </row>
    <row r="176" spans="1:59" s="82" customFormat="1" ht="59.25" customHeight="1">
      <c r="A176" s="559" t="s">
        <v>39</v>
      </c>
      <c r="B176" s="583" t="s">
        <v>461</v>
      </c>
      <c r="C176" s="629"/>
      <c r="D176" s="629"/>
      <c r="E176" s="629"/>
      <c r="F176" s="629"/>
      <c r="G176" s="629"/>
      <c r="H176" s="494"/>
      <c r="I176" s="494"/>
      <c r="J176" s="495" t="s">
        <v>462</v>
      </c>
      <c r="K176" s="496">
        <v>39500</v>
      </c>
      <c r="L176" s="496">
        <v>2928</v>
      </c>
      <c r="M176" s="496"/>
      <c r="N176" s="496"/>
      <c r="O176" s="496"/>
      <c r="P176" s="496"/>
      <c r="Q176" s="496">
        <f t="shared" ref="Q176:R177" si="172">M176+X176</f>
        <v>2928</v>
      </c>
      <c r="R176" s="496">
        <f t="shared" si="172"/>
        <v>2928</v>
      </c>
      <c r="S176" s="496">
        <v>2928</v>
      </c>
      <c r="T176" s="496">
        <v>2928</v>
      </c>
      <c r="U176" s="496"/>
      <c r="V176" s="496"/>
      <c r="W176" s="496"/>
      <c r="X176" s="496">
        <v>2928</v>
      </c>
      <c r="Y176" s="496">
        <v>2928</v>
      </c>
      <c r="Z176" s="496"/>
      <c r="AA176" s="496"/>
      <c r="AB176" s="496"/>
      <c r="AC176" s="496"/>
      <c r="AD176" s="520"/>
      <c r="AE176" s="520"/>
      <c r="AF176" s="520"/>
      <c r="AG176" s="520"/>
      <c r="AH176" s="482">
        <f t="shared" ref="AH176:AH210" si="173">X176+AB176</f>
        <v>2928</v>
      </c>
      <c r="AI176" s="482">
        <f t="shared" ref="AI176:AI210" si="174">Y176+AC176</f>
        <v>2928</v>
      </c>
      <c r="AJ176" s="482"/>
      <c r="AK176" s="482"/>
      <c r="AL176" s="482">
        <f t="shared" si="152"/>
        <v>0</v>
      </c>
      <c r="AM176" s="482">
        <f t="shared" si="153"/>
        <v>0</v>
      </c>
      <c r="AN176" s="482">
        <f t="shared" si="150"/>
        <v>0</v>
      </c>
      <c r="AO176" s="482">
        <f t="shared" si="151"/>
        <v>0</v>
      </c>
      <c r="AP176" s="520"/>
      <c r="AQ176" s="520"/>
      <c r="AR176" s="520"/>
      <c r="AS176" s="520"/>
      <c r="AT176" s="553" t="s">
        <v>463</v>
      </c>
      <c r="AU176" s="484">
        <f t="shared" si="158"/>
        <v>0</v>
      </c>
      <c r="AV176" s="484">
        <f t="shared" si="155"/>
        <v>0</v>
      </c>
      <c r="AW176" s="553"/>
      <c r="AX176" s="548"/>
      <c r="BG176" s="488">
        <f t="shared" si="170"/>
        <v>0</v>
      </c>
    </row>
    <row r="177" spans="1:59" s="82" customFormat="1" ht="59.25" customHeight="1">
      <c r="A177" s="582">
        <v>3</v>
      </c>
      <c r="B177" s="628" t="s">
        <v>464</v>
      </c>
      <c r="C177" s="629" t="s">
        <v>460</v>
      </c>
      <c r="D177" s="629"/>
      <c r="E177" s="629"/>
      <c r="F177" s="629"/>
      <c r="G177" s="629"/>
      <c r="H177" s="494"/>
      <c r="I177" s="494"/>
      <c r="J177" s="495" t="s">
        <v>465</v>
      </c>
      <c r="K177" s="496">
        <v>2850</v>
      </c>
      <c r="L177" s="496">
        <v>984.90000000000009</v>
      </c>
      <c r="M177" s="496">
        <v>0</v>
      </c>
      <c r="N177" s="496">
        <v>0</v>
      </c>
      <c r="O177" s="496">
        <v>0</v>
      </c>
      <c r="P177" s="496">
        <v>0</v>
      </c>
      <c r="Q177" s="496">
        <f t="shared" si="172"/>
        <v>984.90000000000009</v>
      </c>
      <c r="R177" s="496">
        <f t="shared" si="172"/>
        <v>984.90000000000009</v>
      </c>
      <c r="S177" s="496">
        <v>2850</v>
      </c>
      <c r="T177" s="496">
        <v>984.90000000000009</v>
      </c>
      <c r="U177" s="496"/>
      <c r="V177" s="496"/>
      <c r="W177" s="496"/>
      <c r="X177" s="496">
        <v>984.90000000000009</v>
      </c>
      <c r="Y177" s="496">
        <v>984.90000000000009</v>
      </c>
      <c r="Z177" s="496"/>
      <c r="AA177" s="496"/>
      <c r="AB177" s="496"/>
      <c r="AC177" s="496"/>
      <c r="AD177" s="496"/>
      <c r="AE177" s="496"/>
      <c r="AF177" s="496"/>
      <c r="AG177" s="496"/>
      <c r="AH177" s="482">
        <f t="shared" si="173"/>
        <v>984.90000000000009</v>
      </c>
      <c r="AI177" s="482">
        <f t="shared" si="174"/>
        <v>984.90000000000009</v>
      </c>
      <c r="AJ177" s="482"/>
      <c r="AK177" s="482"/>
      <c r="AL177" s="482">
        <f t="shared" si="152"/>
        <v>0</v>
      </c>
      <c r="AM177" s="482">
        <f t="shared" si="153"/>
        <v>0</v>
      </c>
      <c r="AN177" s="482">
        <f t="shared" si="150"/>
        <v>0</v>
      </c>
      <c r="AO177" s="482">
        <f t="shared" si="151"/>
        <v>0</v>
      </c>
      <c r="AP177" s="496"/>
      <c r="AQ177" s="496"/>
      <c r="AR177" s="496"/>
      <c r="AS177" s="496"/>
      <c r="AT177" s="553"/>
      <c r="AU177" s="484">
        <f t="shared" si="158"/>
        <v>0</v>
      </c>
      <c r="AV177" s="484">
        <f t="shared" si="155"/>
        <v>0</v>
      </c>
      <c r="AW177" s="553"/>
      <c r="AX177" s="548">
        <f>T177</f>
        <v>984.90000000000009</v>
      </c>
      <c r="AY177" s="82">
        <f>T177-AX177</f>
        <v>0</v>
      </c>
      <c r="BG177" s="488">
        <f t="shared" si="170"/>
        <v>0</v>
      </c>
    </row>
    <row r="178" spans="1:59" s="80" customFormat="1" ht="59.25" customHeight="1">
      <c r="A178" s="478" t="s">
        <v>46</v>
      </c>
      <c r="B178" s="539" t="s">
        <v>287</v>
      </c>
      <c r="C178" s="526"/>
      <c r="D178" s="526"/>
      <c r="E178" s="526"/>
      <c r="F178" s="526"/>
      <c r="G178" s="526"/>
      <c r="H178" s="526"/>
      <c r="I178" s="526"/>
      <c r="J178" s="527"/>
      <c r="K178" s="525">
        <f>K179</f>
        <v>23873</v>
      </c>
      <c r="L178" s="525">
        <f t="shared" ref="L178:AS178" si="175">L179</f>
        <v>22500</v>
      </c>
      <c r="M178" s="525">
        <f t="shared" si="175"/>
        <v>0</v>
      </c>
      <c r="N178" s="525">
        <f t="shared" si="175"/>
        <v>0</v>
      </c>
      <c r="O178" s="525">
        <f t="shared" si="175"/>
        <v>0</v>
      </c>
      <c r="P178" s="525">
        <f t="shared" si="175"/>
        <v>0</v>
      </c>
      <c r="Q178" s="525">
        <f t="shared" si="175"/>
        <v>604</v>
      </c>
      <c r="R178" s="525">
        <f t="shared" si="175"/>
        <v>604</v>
      </c>
      <c r="S178" s="525">
        <f t="shared" si="175"/>
        <v>23873</v>
      </c>
      <c r="T178" s="525">
        <f t="shared" si="175"/>
        <v>22500</v>
      </c>
      <c r="U178" s="525">
        <f t="shared" si="175"/>
        <v>0</v>
      </c>
      <c r="V178" s="525">
        <f t="shared" si="175"/>
        <v>0</v>
      </c>
      <c r="W178" s="525">
        <f t="shared" si="175"/>
        <v>8906</v>
      </c>
      <c r="X178" s="525">
        <f t="shared" si="175"/>
        <v>604</v>
      </c>
      <c r="Y178" s="525">
        <f t="shared" si="175"/>
        <v>604</v>
      </c>
      <c r="Z178" s="525">
        <f t="shared" si="175"/>
        <v>0</v>
      </c>
      <c r="AA178" s="525">
        <f t="shared" si="175"/>
        <v>0</v>
      </c>
      <c r="AB178" s="525">
        <f t="shared" si="175"/>
        <v>10006</v>
      </c>
      <c r="AC178" s="525">
        <f t="shared" si="175"/>
        <v>9806</v>
      </c>
      <c r="AD178" s="525">
        <f t="shared" si="175"/>
        <v>0</v>
      </c>
      <c r="AE178" s="525">
        <f t="shared" si="175"/>
        <v>0</v>
      </c>
      <c r="AF178" s="525">
        <f t="shared" si="175"/>
        <v>4277.598</v>
      </c>
      <c r="AG178" s="525">
        <f t="shared" si="175"/>
        <v>7844.91</v>
      </c>
      <c r="AH178" s="525">
        <f t="shared" si="175"/>
        <v>10610</v>
      </c>
      <c r="AI178" s="525">
        <f t="shared" si="175"/>
        <v>10410</v>
      </c>
      <c r="AJ178" s="525"/>
      <c r="AK178" s="525"/>
      <c r="AL178" s="525">
        <f t="shared" si="175"/>
        <v>10150</v>
      </c>
      <c r="AM178" s="525">
        <f t="shared" si="175"/>
        <v>10150</v>
      </c>
      <c r="AN178" s="525">
        <f t="shared" si="175"/>
        <v>0</v>
      </c>
      <c r="AO178" s="525">
        <f t="shared" si="175"/>
        <v>0</v>
      </c>
      <c r="AP178" s="525">
        <f t="shared" si="175"/>
        <v>10149</v>
      </c>
      <c r="AQ178" s="525">
        <f t="shared" si="175"/>
        <v>10149</v>
      </c>
      <c r="AR178" s="525">
        <f t="shared" si="175"/>
        <v>0</v>
      </c>
      <c r="AS178" s="525">
        <f t="shared" si="175"/>
        <v>0</v>
      </c>
      <c r="AT178" s="526"/>
      <c r="AU178" s="484">
        <f t="shared" si="158"/>
        <v>0</v>
      </c>
      <c r="AV178" s="501"/>
      <c r="AW178" s="541"/>
      <c r="AX178" s="542"/>
      <c r="BG178" s="488">
        <f t="shared" si="170"/>
        <v>1</v>
      </c>
    </row>
    <row r="179" spans="1:59" s="80" customFormat="1" ht="59.25" customHeight="1">
      <c r="A179" s="556" t="s">
        <v>35</v>
      </c>
      <c r="B179" s="557" t="s">
        <v>45</v>
      </c>
      <c r="C179" s="526"/>
      <c r="D179" s="526"/>
      <c r="E179" s="526"/>
      <c r="F179" s="526"/>
      <c r="G179" s="526"/>
      <c r="H179" s="526"/>
      <c r="I179" s="526"/>
      <c r="J179" s="527"/>
      <c r="K179" s="525">
        <f>SUM(K180:K184)</f>
        <v>23873</v>
      </c>
      <c r="L179" s="525">
        <f t="shared" ref="L179:AP179" si="176">SUM(L180:L184)</f>
        <v>22500</v>
      </c>
      <c r="M179" s="525">
        <f t="shared" si="176"/>
        <v>0</v>
      </c>
      <c r="N179" s="525">
        <f t="shared" si="176"/>
        <v>0</v>
      </c>
      <c r="O179" s="525">
        <f t="shared" si="176"/>
        <v>0</v>
      </c>
      <c r="P179" s="525">
        <f t="shared" si="176"/>
        <v>0</v>
      </c>
      <c r="Q179" s="525">
        <f t="shared" si="176"/>
        <v>604</v>
      </c>
      <c r="R179" s="525">
        <f t="shared" si="176"/>
        <v>604</v>
      </c>
      <c r="S179" s="525">
        <f t="shared" si="176"/>
        <v>23873</v>
      </c>
      <c r="T179" s="525">
        <f t="shared" si="176"/>
        <v>22500</v>
      </c>
      <c r="U179" s="525">
        <f t="shared" si="176"/>
        <v>0</v>
      </c>
      <c r="V179" s="525">
        <f t="shared" si="176"/>
        <v>0</v>
      </c>
      <c r="W179" s="525">
        <f t="shared" ref="W179" si="177">SUM(W180:W184)</f>
        <v>8906</v>
      </c>
      <c r="X179" s="525">
        <f t="shared" si="176"/>
        <v>604</v>
      </c>
      <c r="Y179" s="525">
        <f t="shared" si="176"/>
        <v>604</v>
      </c>
      <c r="Z179" s="525">
        <f t="shared" si="176"/>
        <v>0</v>
      </c>
      <c r="AA179" s="525">
        <f t="shared" si="176"/>
        <v>0</v>
      </c>
      <c r="AB179" s="525">
        <f t="shared" si="176"/>
        <v>10006</v>
      </c>
      <c r="AC179" s="525">
        <f t="shared" si="176"/>
        <v>9806</v>
      </c>
      <c r="AD179" s="525">
        <f t="shared" si="176"/>
        <v>0</v>
      </c>
      <c r="AE179" s="525">
        <f t="shared" si="176"/>
        <v>0</v>
      </c>
      <c r="AF179" s="525">
        <f t="shared" si="176"/>
        <v>4277.598</v>
      </c>
      <c r="AG179" s="525">
        <f t="shared" si="176"/>
        <v>7844.91</v>
      </c>
      <c r="AH179" s="525">
        <f t="shared" si="176"/>
        <v>10610</v>
      </c>
      <c r="AI179" s="525">
        <f t="shared" si="176"/>
        <v>10410</v>
      </c>
      <c r="AJ179" s="525"/>
      <c r="AK179" s="525"/>
      <c r="AL179" s="525">
        <f t="shared" si="176"/>
        <v>10150</v>
      </c>
      <c r="AM179" s="525">
        <f t="shared" si="176"/>
        <v>10150</v>
      </c>
      <c r="AN179" s="525">
        <f t="shared" si="176"/>
        <v>0</v>
      </c>
      <c r="AO179" s="525">
        <f t="shared" si="176"/>
        <v>0</v>
      </c>
      <c r="AP179" s="525">
        <f t="shared" si="176"/>
        <v>10149</v>
      </c>
      <c r="AQ179" s="525">
        <f>SUM(AQ180:AQ184)</f>
        <v>10149</v>
      </c>
      <c r="AR179" s="525">
        <f t="shared" ref="AR179:AS179" si="178">SUM(AR180:AR184)</f>
        <v>0</v>
      </c>
      <c r="AS179" s="525">
        <f t="shared" si="178"/>
        <v>0</v>
      </c>
      <c r="AT179" s="526"/>
      <c r="AU179" s="484">
        <f t="shared" si="158"/>
        <v>0</v>
      </c>
      <c r="AV179" s="501"/>
      <c r="AW179" s="541"/>
      <c r="AX179" s="542"/>
      <c r="BG179" s="488">
        <f t="shared" si="170"/>
        <v>1</v>
      </c>
    </row>
    <row r="180" spans="1:59" s="510" customFormat="1" ht="59.25" customHeight="1">
      <c r="A180" s="582">
        <v>1</v>
      </c>
      <c r="B180" s="632" t="s">
        <v>471</v>
      </c>
      <c r="C180" s="629" t="s">
        <v>460</v>
      </c>
      <c r="D180" s="629"/>
      <c r="E180" s="629" t="s">
        <v>993</v>
      </c>
      <c r="F180" s="629"/>
      <c r="G180" s="629"/>
      <c r="H180" s="503"/>
      <c r="I180" s="494" t="s">
        <v>951</v>
      </c>
      <c r="J180" s="495" t="s">
        <v>472</v>
      </c>
      <c r="K180" s="496">
        <v>5373</v>
      </c>
      <c r="L180" s="496">
        <v>4000</v>
      </c>
      <c r="M180" s="496"/>
      <c r="N180" s="496"/>
      <c r="O180" s="496"/>
      <c r="P180" s="496"/>
      <c r="Q180" s="496">
        <f t="shared" ref="Q180:R184" si="179">M180+X180</f>
        <v>151</v>
      </c>
      <c r="R180" s="496">
        <f t="shared" si="179"/>
        <v>151</v>
      </c>
      <c r="S180" s="496">
        <v>5373</v>
      </c>
      <c r="T180" s="496">
        <v>4000</v>
      </c>
      <c r="U180" s="496"/>
      <c r="V180" s="496"/>
      <c r="W180" s="496">
        <v>2300</v>
      </c>
      <c r="X180" s="496">
        <f>Y180</f>
        <v>151</v>
      </c>
      <c r="Y180" s="496">
        <v>151</v>
      </c>
      <c r="Z180" s="496"/>
      <c r="AA180" s="496"/>
      <c r="AB180" s="496">
        <v>2500</v>
      </c>
      <c r="AC180" s="496">
        <v>2300</v>
      </c>
      <c r="AD180" s="496"/>
      <c r="AE180" s="496"/>
      <c r="AF180" s="496">
        <v>2059</v>
      </c>
      <c r="AG180" s="496">
        <v>2059</v>
      </c>
      <c r="AH180" s="496">
        <f t="shared" si="173"/>
        <v>2651</v>
      </c>
      <c r="AI180" s="496">
        <f t="shared" si="174"/>
        <v>2451</v>
      </c>
      <c r="AJ180" s="496"/>
      <c r="AK180" s="496"/>
      <c r="AL180" s="496">
        <f t="shared" si="152"/>
        <v>1549</v>
      </c>
      <c r="AM180" s="496">
        <f t="shared" si="153"/>
        <v>1549</v>
      </c>
      <c r="AN180" s="496">
        <f t="shared" si="150"/>
        <v>0</v>
      </c>
      <c r="AO180" s="496">
        <f t="shared" si="151"/>
        <v>0</v>
      </c>
      <c r="AP180" s="496">
        <f>AQ180</f>
        <v>1549</v>
      </c>
      <c r="AQ180" s="496">
        <v>1549</v>
      </c>
      <c r="AR180" s="496"/>
      <c r="AS180" s="496"/>
      <c r="AT180" s="536" t="s">
        <v>946</v>
      </c>
      <c r="AU180" s="484">
        <f t="shared" si="158"/>
        <v>0</v>
      </c>
      <c r="AV180" s="484">
        <f t="shared" si="155"/>
        <v>0</v>
      </c>
      <c r="AW180" s="562"/>
      <c r="AX180" s="572"/>
      <c r="BG180" s="488">
        <f t="shared" si="170"/>
        <v>0</v>
      </c>
    </row>
    <row r="181" spans="1:59" s="510" customFormat="1" ht="59.25" customHeight="1">
      <c r="A181" s="582">
        <v>2</v>
      </c>
      <c r="B181" s="565" t="s">
        <v>475</v>
      </c>
      <c r="C181" s="629" t="s">
        <v>460</v>
      </c>
      <c r="D181" s="629"/>
      <c r="E181" s="629" t="s">
        <v>990</v>
      </c>
      <c r="F181" s="629"/>
      <c r="G181" s="629"/>
      <c r="H181" s="503"/>
      <c r="I181" s="494" t="s">
        <v>944</v>
      </c>
      <c r="J181" s="563" t="s">
        <v>476</v>
      </c>
      <c r="K181" s="496">
        <v>2340</v>
      </c>
      <c r="L181" s="496">
        <v>2340</v>
      </c>
      <c r="M181" s="496"/>
      <c r="N181" s="496"/>
      <c r="O181" s="496"/>
      <c r="P181" s="496"/>
      <c r="Q181" s="496">
        <f t="shared" si="179"/>
        <v>39</v>
      </c>
      <c r="R181" s="496">
        <f t="shared" si="179"/>
        <v>39</v>
      </c>
      <c r="S181" s="496">
        <f>T181</f>
        <v>2340</v>
      </c>
      <c r="T181" s="496">
        <v>2340</v>
      </c>
      <c r="U181" s="496"/>
      <c r="V181" s="496"/>
      <c r="W181" s="496">
        <v>100</v>
      </c>
      <c r="X181" s="496">
        <v>39</v>
      </c>
      <c r="Y181" s="496">
        <v>39</v>
      </c>
      <c r="Z181" s="496"/>
      <c r="AA181" s="496"/>
      <c r="AB181" s="496">
        <v>1000</v>
      </c>
      <c r="AC181" s="496">
        <v>1000</v>
      </c>
      <c r="AD181" s="496"/>
      <c r="AE181" s="496"/>
      <c r="AF181" s="496"/>
      <c r="AG181" s="496"/>
      <c r="AH181" s="496">
        <f t="shared" ref="AH181:AI184" si="180">X181+AB181</f>
        <v>1039</v>
      </c>
      <c r="AI181" s="496">
        <f t="shared" si="180"/>
        <v>1039</v>
      </c>
      <c r="AJ181" s="496"/>
      <c r="AK181" s="496"/>
      <c r="AL181" s="496">
        <f>AM181</f>
        <v>1301</v>
      </c>
      <c r="AM181" s="496">
        <f>T181-AI181</f>
        <v>1301</v>
      </c>
      <c r="AN181" s="496">
        <f t="shared" ref="AN181:AO182" si="181">AR181</f>
        <v>0</v>
      </c>
      <c r="AO181" s="496">
        <f t="shared" si="181"/>
        <v>0</v>
      </c>
      <c r="AP181" s="496">
        <f>AQ181</f>
        <v>1300</v>
      </c>
      <c r="AQ181" s="496">
        <v>1300</v>
      </c>
      <c r="AR181" s="496"/>
      <c r="AS181" s="496"/>
      <c r="AT181" s="536" t="s">
        <v>946</v>
      </c>
      <c r="AU181" s="484">
        <f t="shared" si="158"/>
        <v>0</v>
      </c>
      <c r="AV181" s="484">
        <f>V181-AA181</f>
        <v>0</v>
      </c>
      <c r="AW181" s="562"/>
      <c r="AX181" s="572"/>
      <c r="BG181" s="488">
        <f t="shared" si="170"/>
        <v>1</v>
      </c>
    </row>
    <row r="182" spans="1:59" s="510" customFormat="1" ht="59.25" customHeight="1">
      <c r="A182" s="582">
        <v>3</v>
      </c>
      <c r="B182" s="560" t="s">
        <v>785</v>
      </c>
      <c r="C182" s="629" t="s">
        <v>460</v>
      </c>
      <c r="D182" s="629"/>
      <c r="E182" s="629" t="s">
        <v>993</v>
      </c>
      <c r="F182" s="629"/>
      <c r="G182" s="629"/>
      <c r="H182" s="503"/>
      <c r="I182" s="494" t="s">
        <v>944</v>
      </c>
      <c r="J182" s="563" t="s">
        <v>483</v>
      </c>
      <c r="K182" s="496">
        <v>3160</v>
      </c>
      <c r="L182" s="496">
        <v>3160</v>
      </c>
      <c r="M182" s="496"/>
      <c r="N182" s="496"/>
      <c r="O182" s="496"/>
      <c r="P182" s="496"/>
      <c r="Q182" s="496">
        <f t="shared" si="179"/>
        <v>46</v>
      </c>
      <c r="R182" s="496">
        <f t="shared" si="179"/>
        <v>46</v>
      </c>
      <c r="S182" s="496">
        <f>T182</f>
        <v>3160</v>
      </c>
      <c r="T182" s="496">
        <v>3160</v>
      </c>
      <c r="U182" s="496"/>
      <c r="V182" s="496"/>
      <c r="W182" s="496">
        <v>1006</v>
      </c>
      <c r="X182" s="496">
        <v>46</v>
      </c>
      <c r="Y182" s="496">
        <v>46</v>
      </c>
      <c r="Z182" s="496"/>
      <c r="AA182" s="496"/>
      <c r="AB182" s="496">
        <v>1006</v>
      </c>
      <c r="AC182" s="496">
        <v>1006</v>
      </c>
      <c r="AD182" s="496"/>
      <c r="AE182" s="496"/>
      <c r="AF182" s="520">
        <v>0</v>
      </c>
      <c r="AG182" s="520">
        <v>885.40200000000004</v>
      </c>
      <c r="AH182" s="496">
        <f t="shared" si="180"/>
        <v>1052</v>
      </c>
      <c r="AI182" s="496">
        <f t="shared" si="180"/>
        <v>1052</v>
      </c>
      <c r="AJ182" s="496"/>
      <c r="AK182" s="496"/>
      <c r="AL182" s="496">
        <f>AM182</f>
        <v>1100</v>
      </c>
      <c r="AM182" s="496">
        <v>1100</v>
      </c>
      <c r="AN182" s="496">
        <f t="shared" si="181"/>
        <v>0</v>
      </c>
      <c r="AO182" s="496">
        <f t="shared" si="181"/>
        <v>0</v>
      </c>
      <c r="AP182" s="496">
        <v>1100</v>
      </c>
      <c r="AQ182" s="496">
        <f>AP182</f>
        <v>1100</v>
      </c>
      <c r="AR182" s="496"/>
      <c r="AS182" s="496"/>
      <c r="AT182" s="554"/>
      <c r="AU182" s="484">
        <f t="shared" si="158"/>
        <v>0</v>
      </c>
      <c r="AV182" s="484">
        <f>V182-AA182</f>
        <v>0</v>
      </c>
      <c r="AW182" s="562"/>
      <c r="AX182" s="572"/>
      <c r="BG182" s="488">
        <f t="shared" si="170"/>
        <v>0</v>
      </c>
    </row>
    <row r="183" spans="1:59" s="510" customFormat="1" ht="59.25" customHeight="1">
      <c r="A183" s="582">
        <v>4</v>
      </c>
      <c r="B183" s="560" t="s">
        <v>477</v>
      </c>
      <c r="C183" s="629" t="s">
        <v>460</v>
      </c>
      <c r="D183" s="629"/>
      <c r="E183" s="629" t="s">
        <v>993</v>
      </c>
      <c r="F183" s="629"/>
      <c r="G183" s="629"/>
      <c r="H183" s="503"/>
      <c r="I183" s="494" t="s">
        <v>627</v>
      </c>
      <c r="J183" s="563" t="s">
        <v>478</v>
      </c>
      <c r="K183" s="496">
        <v>7000</v>
      </c>
      <c r="L183" s="496">
        <v>7000</v>
      </c>
      <c r="M183" s="496"/>
      <c r="N183" s="496"/>
      <c r="O183" s="496"/>
      <c r="P183" s="496"/>
      <c r="Q183" s="496">
        <f t="shared" si="179"/>
        <v>277</v>
      </c>
      <c r="R183" s="496">
        <f t="shared" si="179"/>
        <v>277</v>
      </c>
      <c r="S183" s="496">
        <f>T183</f>
        <v>7000</v>
      </c>
      <c r="T183" s="496">
        <v>7000</v>
      </c>
      <c r="U183" s="496"/>
      <c r="V183" s="496"/>
      <c r="W183" s="496">
        <v>3000</v>
      </c>
      <c r="X183" s="496">
        <f>Y183</f>
        <v>277</v>
      </c>
      <c r="Y183" s="496">
        <v>277</v>
      </c>
      <c r="Z183" s="496"/>
      <c r="AA183" s="496"/>
      <c r="AB183" s="496">
        <v>3000</v>
      </c>
      <c r="AC183" s="496">
        <v>3000</v>
      </c>
      <c r="AD183" s="496"/>
      <c r="AE183" s="496"/>
      <c r="AF183" s="520">
        <v>0</v>
      </c>
      <c r="AG183" s="520">
        <v>2681.91</v>
      </c>
      <c r="AH183" s="496">
        <f t="shared" si="180"/>
        <v>3277</v>
      </c>
      <c r="AI183" s="496">
        <f t="shared" si="180"/>
        <v>3277</v>
      </c>
      <c r="AJ183" s="496"/>
      <c r="AK183" s="496"/>
      <c r="AL183" s="496">
        <f t="shared" ref="AL183:AO184" si="182">AP183</f>
        <v>3200</v>
      </c>
      <c r="AM183" s="496">
        <f t="shared" si="182"/>
        <v>3200</v>
      </c>
      <c r="AN183" s="496">
        <f t="shared" si="182"/>
        <v>0</v>
      </c>
      <c r="AO183" s="496">
        <f t="shared" si="182"/>
        <v>0</v>
      </c>
      <c r="AP183" s="496">
        <f>AQ183</f>
        <v>3200</v>
      </c>
      <c r="AQ183" s="496">
        <v>3200</v>
      </c>
      <c r="AR183" s="496"/>
      <c r="AS183" s="496"/>
      <c r="AT183" s="536"/>
      <c r="AU183" s="484">
        <f>AP183-AQ183</f>
        <v>0</v>
      </c>
      <c r="AV183" s="484">
        <f>V183-AA183</f>
        <v>0</v>
      </c>
      <c r="AW183" s="562">
        <f>AC183</f>
        <v>3000</v>
      </c>
      <c r="AX183" s="548">
        <f>T183</f>
        <v>7000</v>
      </c>
      <c r="AY183" s="82">
        <f>T183-AX183</f>
        <v>0</v>
      </c>
      <c r="BD183" s="510">
        <v>1</v>
      </c>
      <c r="BE183" s="510">
        <v>1</v>
      </c>
      <c r="BF183" s="510">
        <f>AQ183</f>
        <v>3200</v>
      </c>
      <c r="BG183" s="488">
        <f t="shared" si="170"/>
        <v>0</v>
      </c>
    </row>
    <row r="184" spans="1:59" s="510" customFormat="1" ht="59.25" customHeight="1">
      <c r="A184" s="582">
        <v>5</v>
      </c>
      <c r="B184" s="596" t="s">
        <v>479</v>
      </c>
      <c r="C184" s="629" t="s">
        <v>460</v>
      </c>
      <c r="D184" s="629"/>
      <c r="E184" s="629" t="s">
        <v>993</v>
      </c>
      <c r="F184" s="629"/>
      <c r="G184" s="629"/>
      <c r="H184" s="503"/>
      <c r="I184" s="494" t="s">
        <v>627</v>
      </c>
      <c r="J184" s="563" t="s">
        <v>480</v>
      </c>
      <c r="K184" s="496">
        <v>6000</v>
      </c>
      <c r="L184" s="496">
        <v>6000</v>
      </c>
      <c r="M184" s="496"/>
      <c r="N184" s="496"/>
      <c r="O184" s="496"/>
      <c r="P184" s="496"/>
      <c r="Q184" s="496">
        <f t="shared" si="179"/>
        <v>91</v>
      </c>
      <c r="R184" s="496">
        <f t="shared" si="179"/>
        <v>91</v>
      </c>
      <c r="S184" s="496">
        <f>T184</f>
        <v>6000</v>
      </c>
      <c r="T184" s="496">
        <v>6000</v>
      </c>
      <c r="U184" s="496"/>
      <c r="V184" s="496"/>
      <c r="W184" s="496">
        <v>2500</v>
      </c>
      <c r="X184" s="496">
        <v>91</v>
      </c>
      <c r="Y184" s="496">
        <v>91</v>
      </c>
      <c r="Z184" s="496"/>
      <c r="AA184" s="496"/>
      <c r="AB184" s="496">
        <v>2500</v>
      </c>
      <c r="AC184" s="496">
        <v>2500</v>
      </c>
      <c r="AD184" s="496"/>
      <c r="AE184" s="496"/>
      <c r="AF184" s="520">
        <v>2218.598</v>
      </c>
      <c r="AG184" s="520">
        <v>2218.598</v>
      </c>
      <c r="AH184" s="496">
        <f t="shared" si="180"/>
        <v>2591</v>
      </c>
      <c r="AI184" s="496">
        <f t="shared" si="180"/>
        <v>2591</v>
      </c>
      <c r="AJ184" s="496"/>
      <c r="AK184" s="496"/>
      <c r="AL184" s="496">
        <f t="shared" si="182"/>
        <v>3000</v>
      </c>
      <c r="AM184" s="496">
        <f t="shared" si="182"/>
        <v>3000</v>
      </c>
      <c r="AN184" s="496">
        <f t="shared" si="182"/>
        <v>0</v>
      </c>
      <c r="AO184" s="496">
        <f t="shared" si="182"/>
        <v>0</v>
      </c>
      <c r="AP184" s="496">
        <f>AQ184</f>
        <v>3000</v>
      </c>
      <c r="AQ184" s="496">
        <v>3000</v>
      </c>
      <c r="AR184" s="496"/>
      <c r="AS184" s="496"/>
      <c r="AT184" s="536"/>
      <c r="AU184" s="484">
        <f>AP184-AQ184</f>
        <v>0</v>
      </c>
      <c r="AV184" s="484">
        <f>V184-AA184</f>
        <v>0</v>
      </c>
      <c r="AW184" s="562">
        <f>AC184</f>
        <v>2500</v>
      </c>
      <c r="AX184" s="548">
        <f>T184</f>
        <v>6000</v>
      </c>
      <c r="AY184" s="82">
        <f>T184-AX184</f>
        <v>0</v>
      </c>
      <c r="BD184" s="510">
        <v>1</v>
      </c>
      <c r="BE184" s="510">
        <v>1</v>
      </c>
      <c r="BF184" s="510">
        <f>AQ184</f>
        <v>3000</v>
      </c>
      <c r="BG184" s="488">
        <f t="shared" si="170"/>
        <v>0</v>
      </c>
    </row>
    <row r="185" spans="1:59" s="80" customFormat="1" ht="59.25" customHeight="1">
      <c r="A185" s="478" t="s">
        <v>279</v>
      </c>
      <c r="B185" s="539" t="s">
        <v>288</v>
      </c>
      <c r="C185" s="633"/>
      <c r="D185" s="633"/>
      <c r="E185" s="633"/>
      <c r="F185" s="633"/>
      <c r="G185" s="633"/>
      <c r="H185" s="526"/>
      <c r="I185" s="526"/>
      <c r="J185" s="558"/>
      <c r="K185" s="482">
        <f>K186+K188</f>
        <v>370800</v>
      </c>
      <c r="L185" s="482">
        <f t="shared" ref="L185:AS185" si="183">L186+L188</f>
        <v>75500</v>
      </c>
      <c r="M185" s="482">
        <f t="shared" si="183"/>
        <v>217569</v>
      </c>
      <c r="N185" s="482">
        <f t="shared" si="183"/>
        <v>0</v>
      </c>
      <c r="O185" s="482">
        <f t="shared" si="183"/>
        <v>0</v>
      </c>
      <c r="P185" s="482">
        <f t="shared" si="183"/>
        <v>0</v>
      </c>
      <c r="Q185" s="482">
        <f t="shared" si="183"/>
        <v>217771</v>
      </c>
      <c r="R185" s="482">
        <f t="shared" si="183"/>
        <v>202</v>
      </c>
      <c r="S185" s="482">
        <f t="shared" si="183"/>
        <v>134700</v>
      </c>
      <c r="T185" s="482">
        <f t="shared" si="183"/>
        <v>74700</v>
      </c>
      <c r="U185" s="482">
        <f t="shared" si="183"/>
        <v>0</v>
      </c>
      <c r="V185" s="482">
        <f t="shared" si="183"/>
        <v>0</v>
      </c>
      <c r="W185" s="482">
        <f t="shared" ref="W185" si="184">W186+W188</f>
        <v>6500</v>
      </c>
      <c r="X185" s="482">
        <f t="shared" si="183"/>
        <v>202</v>
      </c>
      <c r="Y185" s="482">
        <f t="shared" si="183"/>
        <v>202</v>
      </c>
      <c r="Z185" s="482">
        <f t="shared" si="183"/>
        <v>0</v>
      </c>
      <c r="AA185" s="482">
        <f t="shared" si="183"/>
        <v>0</v>
      </c>
      <c r="AB185" s="482">
        <f t="shared" si="183"/>
        <v>10500</v>
      </c>
      <c r="AC185" s="482">
        <f t="shared" si="183"/>
        <v>10500</v>
      </c>
      <c r="AD185" s="482">
        <f t="shared" si="183"/>
        <v>0</v>
      </c>
      <c r="AE185" s="482">
        <f t="shared" si="183"/>
        <v>0</v>
      </c>
      <c r="AF185" s="482">
        <f t="shared" si="183"/>
        <v>0</v>
      </c>
      <c r="AG185" s="482">
        <f t="shared" si="183"/>
        <v>1760.6</v>
      </c>
      <c r="AH185" s="482">
        <f t="shared" si="183"/>
        <v>10702</v>
      </c>
      <c r="AI185" s="482">
        <f t="shared" si="183"/>
        <v>10702</v>
      </c>
      <c r="AJ185" s="482"/>
      <c r="AK185" s="482"/>
      <c r="AL185" s="482">
        <f t="shared" si="183"/>
        <v>19600</v>
      </c>
      <c r="AM185" s="482">
        <f t="shared" si="183"/>
        <v>19600</v>
      </c>
      <c r="AN185" s="482">
        <f t="shared" si="183"/>
        <v>0</v>
      </c>
      <c r="AO185" s="482">
        <f t="shared" si="183"/>
        <v>0</v>
      </c>
      <c r="AP185" s="482">
        <f t="shared" si="183"/>
        <v>8600</v>
      </c>
      <c r="AQ185" s="482">
        <f t="shared" si="183"/>
        <v>8600</v>
      </c>
      <c r="AR185" s="482">
        <f t="shared" si="183"/>
        <v>0</v>
      </c>
      <c r="AS185" s="482">
        <f t="shared" si="183"/>
        <v>0</v>
      </c>
      <c r="AT185" s="480"/>
      <c r="AU185" s="484">
        <f t="shared" si="158"/>
        <v>0</v>
      </c>
      <c r="AV185" s="489"/>
      <c r="AW185" s="541"/>
      <c r="AX185" s="542"/>
      <c r="BG185" s="488">
        <f t="shared" si="170"/>
        <v>11000</v>
      </c>
    </row>
    <row r="186" spans="1:59" s="80" customFormat="1" ht="59.25" customHeight="1">
      <c r="A186" s="556" t="s">
        <v>35</v>
      </c>
      <c r="B186" s="557" t="s">
        <v>43</v>
      </c>
      <c r="C186" s="633"/>
      <c r="D186" s="633"/>
      <c r="E186" s="633"/>
      <c r="F186" s="633"/>
      <c r="G186" s="633"/>
      <c r="H186" s="526"/>
      <c r="I186" s="526"/>
      <c r="J186" s="558"/>
      <c r="K186" s="482">
        <f>K187</f>
        <v>355300</v>
      </c>
      <c r="L186" s="482">
        <f t="shared" ref="L186:AS186" si="185">L187</f>
        <v>60000</v>
      </c>
      <c r="M186" s="482">
        <f t="shared" si="185"/>
        <v>217569</v>
      </c>
      <c r="N186" s="482">
        <f t="shared" si="185"/>
        <v>0</v>
      </c>
      <c r="O186" s="482">
        <f t="shared" si="185"/>
        <v>0</v>
      </c>
      <c r="P186" s="482">
        <f t="shared" si="185"/>
        <v>0</v>
      </c>
      <c r="Q186" s="482">
        <f t="shared" si="185"/>
        <v>217569</v>
      </c>
      <c r="R186" s="482">
        <f t="shared" si="185"/>
        <v>0</v>
      </c>
      <c r="S186" s="482">
        <f t="shared" si="185"/>
        <v>120000</v>
      </c>
      <c r="T186" s="482">
        <f t="shared" si="185"/>
        <v>60000</v>
      </c>
      <c r="U186" s="482">
        <f t="shared" si="185"/>
        <v>0</v>
      </c>
      <c r="V186" s="482">
        <f t="shared" si="185"/>
        <v>0</v>
      </c>
      <c r="W186" s="482">
        <f t="shared" si="185"/>
        <v>0</v>
      </c>
      <c r="X186" s="482">
        <f t="shared" si="185"/>
        <v>0</v>
      </c>
      <c r="Y186" s="482">
        <f t="shared" si="185"/>
        <v>0</v>
      </c>
      <c r="Z186" s="482">
        <f t="shared" si="185"/>
        <v>0</v>
      </c>
      <c r="AA186" s="482">
        <f t="shared" si="185"/>
        <v>0</v>
      </c>
      <c r="AB186" s="482">
        <f t="shared" si="185"/>
        <v>4000</v>
      </c>
      <c r="AC186" s="482">
        <f t="shared" si="185"/>
        <v>4000</v>
      </c>
      <c r="AD186" s="482">
        <f t="shared" si="185"/>
        <v>0</v>
      </c>
      <c r="AE186" s="482">
        <f t="shared" si="185"/>
        <v>0</v>
      </c>
      <c r="AF186" s="482">
        <f t="shared" si="185"/>
        <v>0</v>
      </c>
      <c r="AG186" s="482">
        <f t="shared" si="185"/>
        <v>0</v>
      </c>
      <c r="AH186" s="482">
        <f t="shared" si="185"/>
        <v>4000</v>
      </c>
      <c r="AI186" s="482">
        <f t="shared" si="185"/>
        <v>4000</v>
      </c>
      <c r="AJ186" s="482"/>
      <c r="AK186" s="482"/>
      <c r="AL186" s="482">
        <f t="shared" si="185"/>
        <v>15000</v>
      </c>
      <c r="AM186" s="482">
        <f t="shared" si="185"/>
        <v>15000</v>
      </c>
      <c r="AN186" s="482">
        <f t="shared" si="185"/>
        <v>0</v>
      </c>
      <c r="AO186" s="482">
        <f t="shared" si="185"/>
        <v>0</v>
      </c>
      <c r="AP186" s="482">
        <f t="shared" si="185"/>
        <v>4000</v>
      </c>
      <c r="AQ186" s="482">
        <f t="shared" si="185"/>
        <v>4000</v>
      </c>
      <c r="AR186" s="482">
        <f t="shared" si="185"/>
        <v>0</v>
      </c>
      <c r="AS186" s="482">
        <f t="shared" si="185"/>
        <v>0</v>
      </c>
      <c r="AT186" s="480"/>
      <c r="AU186" s="484">
        <f t="shared" si="158"/>
        <v>0</v>
      </c>
      <c r="AV186" s="489"/>
      <c r="AW186" s="541"/>
      <c r="AX186" s="542"/>
      <c r="BG186" s="488">
        <f t="shared" si="170"/>
        <v>11000</v>
      </c>
    </row>
    <row r="187" spans="1:59" s="82" customFormat="1" ht="59.25" customHeight="1">
      <c r="A187" s="582">
        <v>1</v>
      </c>
      <c r="B187" s="628" t="s">
        <v>466</v>
      </c>
      <c r="C187" s="629" t="s">
        <v>460</v>
      </c>
      <c r="D187" s="629"/>
      <c r="E187" s="629" t="s">
        <v>993</v>
      </c>
      <c r="F187" s="629"/>
      <c r="G187" s="629"/>
      <c r="H187" s="494" t="s">
        <v>467</v>
      </c>
      <c r="I187" s="494" t="s">
        <v>468</v>
      </c>
      <c r="J187" s="495" t="s">
        <v>469</v>
      </c>
      <c r="K187" s="496">
        <v>355300</v>
      </c>
      <c r="L187" s="496">
        <v>60000</v>
      </c>
      <c r="M187" s="496">
        <v>217569</v>
      </c>
      <c r="N187" s="496"/>
      <c r="O187" s="496"/>
      <c r="P187" s="496"/>
      <c r="Q187" s="496">
        <f>M187+X187</f>
        <v>217569</v>
      </c>
      <c r="R187" s="496">
        <f>N187+Y187</f>
        <v>0</v>
      </c>
      <c r="S187" s="496">
        <v>120000</v>
      </c>
      <c r="T187" s="496">
        <v>60000</v>
      </c>
      <c r="U187" s="496"/>
      <c r="V187" s="496"/>
      <c r="W187" s="496"/>
      <c r="X187" s="496"/>
      <c r="Y187" s="496"/>
      <c r="Z187" s="496"/>
      <c r="AA187" s="496"/>
      <c r="AB187" s="496">
        <v>4000</v>
      </c>
      <c r="AC187" s="496">
        <v>4000</v>
      </c>
      <c r="AD187" s="496"/>
      <c r="AE187" s="496"/>
      <c r="AF187" s="496"/>
      <c r="AG187" s="496"/>
      <c r="AH187" s="496">
        <f>X187+AB187</f>
        <v>4000</v>
      </c>
      <c r="AI187" s="496">
        <f>Y187+AC187</f>
        <v>4000</v>
      </c>
      <c r="AJ187" s="496"/>
      <c r="AK187" s="496"/>
      <c r="AL187" s="496">
        <v>15000</v>
      </c>
      <c r="AM187" s="496">
        <f>AL187</f>
        <v>15000</v>
      </c>
      <c r="AN187" s="496">
        <f>AR187</f>
        <v>0</v>
      </c>
      <c r="AO187" s="496">
        <f>AS187</f>
        <v>0</v>
      </c>
      <c r="AP187" s="496">
        <f>AQ187</f>
        <v>4000</v>
      </c>
      <c r="AQ187" s="496">
        <v>4000</v>
      </c>
      <c r="AR187" s="496"/>
      <c r="AS187" s="496"/>
      <c r="AT187" s="553" t="s">
        <v>470</v>
      </c>
      <c r="AU187" s="484">
        <f t="shared" si="158"/>
        <v>0</v>
      </c>
      <c r="AV187" s="484">
        <f>V187-AA187</f>
        <v>0</v>
      </c>
      <c r="AW187" s="553"/>
      <c r="AX187" s="548"/>
      <c r="BG187" s="488">
        <f t="shared" si="170"/>
        <v>11000</v>
      </c>
    </row>
    <row r="188" spans="1:59" s="80" customFormat="1" ht="59.25" customHeight="1">
      <c r="A188" s="556" t="s">
        <v>35</v>
      </c>
      <c r="B188" s="557" t="s">
        <v>45</v>
      </c>
      <c r="C188" s="633"/>
      <c r="D188" s="633"/>
      <c r="E188" s="633"/>
      <c r="F188" s="633"/>
      <c r="G188" s="633"/>
      <c r="H188" s="526"/>
      <c r="I188" s="526"/>
      <c r="J188" s="558"/>
      <c r="K188" s="482">
        <f>SUM(K189:K190)</f>
        <v>15500</v>
      </c>
      <c r="L188" s="482">
        <f t="shared" ref="L188:AS188" si="186">SUM(L189:L190)</f>
        <v>15500</v>
      </c>
      <c r="M188" s="482">
        <f t="shared" si="186"/>
        <v>0</v>
      </c>
      <c r="N188" s="482">
        <f t="shared" si="186"/>
        <v>0</v>
      </c>
      <c r="O188" s="482">
        <f t="shared" si="186"/>
        <v>0</v>
      </c>
      <c r="P188" s="482">
        <f t="shared" si="186"/>
        <v>0</v>
      </c>
      <c r="Q188" s="482">
        <f t="shared" si="186"/>
        <v>202</v>
      </c>
      <c r="R188" s="482">
        <f t="shared" si="186"/>
        <v>202</v>
      </c>
      <c r="S188" s="482">
        <f t="shared" si="186"/>
        <v>14700</v>
      </c>
      <c r="T188" s="482">
        <f t="shared" si="186"/>
        <v>14700</v>
      </c>
      <c r="U188" s="482">
        <f t="shared" si="186"/>
        <v>0</v>
      </c>
      <c r="V188" s="482">
        <f t="shared" si="186"/>
        <v>0</v>
      </c>
      <c r="W188" s="482">
        <f t="shared" si="186"/>
        <v>6500</v>
      </c>
      <c r="X188" s="482">
        <f t="shared" si="186"/>
        <v>202</v>
      </c>
      <c r="Y188" s="482">
        <f t="shared" si="186"/>
        <v>202</v>
      </c>
      <c r="Z188" s="482">
        <f t="shared" si="186"/>
        <v>0</v>
      </c>
      <c r="AA188" s="482">
        <f t="shared" si="186"/>
        <v>0</v>
      </c>
      <c r="AB188" s="482">
        <f t="shared" si="186"/>
        <v>6500</v>
      </c>
      <c r="AC188" s="482">
        <f t="shared" si="186"/>
        <v>6500</v>
      </c>
      <c r="AD188" s="482">
        <f t="shared" si="186"/>
        <v>0</v>
      </c>
      <c r="AE188" s="482">
        <f t="shared" si="186"/>
        <v>0</v>
      </c>
      <c r="AF188" s="482">
        <f t="shared" si="186"/>
        <v>0</v>
      </c>
      <c r="AG188" s="482">
        <f t="shared" si="186"/>
        <v>1760.6</v>
      </c>
      <c r="AH188" s="482">
        <f t="shared" si="186"/>
        <v>6702</v>
      </c>
      <c r="AI188" s="482">
        <f t="shared" si="186"/>
        <v>6702</v>
      </c>
      <c r="AJ188" s="482"/>
      <c r="AK188" s="482"/>
      <c r="AL188" s="482">
        <f t="shared" si="186"/>
        <v>4600</v>
      </c>
      <c r="AM188" s="482">
        <f t="shared" si="186"/>
        <v>4600</v>
      </c>
      <c r="AN188" s="482">
        <f t="shared" si="186"/>
        <v>0</v>
      </c>
      <c r="AO188" s="482">
        <f t="shared" si="186"/>
        <v>0</v>
      </c>
      <c r="AP188" s="482">
        <f t="shared" si="186"/>
        <v>4600</v>
      </c>
      <c r="AQ188" s="482">
        <f>SUM(AQ189:AQ190)</f>
        <v>4600</v>
      </c>
      <c r="AR188" s="482">
        <f t="shared" si="186"/>
        <v>0</v>
      </c>
      <c r="AS188" s="482">
        <f t="shared" si="186"/>
        <v>0</v>
      </c>
      <c r="AT188" s="480"/>
      <c r="AU188" s="484">
        <f t="shared" si="158"/>
        <v>0</v>
      </c>
      <c r="AV188" s="489"/>
      <c r="AW188" s="541"/>
      <c r="AX188" s="542"/>
      <c r="BG188" s="488">
        <f t="shared" si="170"/>
        <v>0</v>
      </c>
    </row>
    <row r="189" spans="1:59" s="510" customFormat="1" ht="59.25" customHeight="1">
      <c r="A189" s="582">
        <v>1</v>
      </c>
      <c r="B189" s="632" t="s">
        <v>473</v>
      </c>
      <c r="C189" s="629" t="s">
        <v>460</v>
      </c>
      <c r="D189" s="629"/>
      <c r="E189" s="629" t="s">
        <v>987</v>
      </c>
      <c r="F189" s="629"/>
      <c r="G189" s="629"/>
      <c r="H189" s="503"/>
      <c r="I189" s="494" t="s">
        <v>627</v>
      </c>
      <c r="J189" s="563" t="s">
        <v>474</v>
      </c>
      <c r="K189" s="496">
        <v>8000</v>
      </c>
      <c r="L189" s="496">
        <v>8000</v>
      </c>
      <c r="M189" s="496"/>
      <c r="N189" s="496"/>
      <c r="O189" s="496"/>
      <c r="P189" s="496"/>
      <c r="Q189" s="496">
        <f>M189+X189</f>
        <v>104</v>
      </c>
      <c r="R189" s="496">
        <f>N189+Y189</f>
        <v>104</v>
      </c>
      <c r="S189" s="496">
        <v>7200</v>
      </c>
      <c r="T189" s="496">
        <v>7200</v>
      </c>
      <c r="U189" s="496"/>
      <c r="V189" s="496"/>
      <c r="W189" s="496">
        <v>4000</v>
      </c>
      <c r="X189" s="496">
        <v>104</v>
      </c>
      <c r="Y189" s="496">
        <v>104</v>
      </c>
      <c r="Z189" s="496"/>
      <c r="AA189" s="496"/>
      <c r="AB189" s="496">
        <f>AC189</f>
        <v>4000</v>
      </c>
      <c r="AC189" s="496">
        <f>2500+1500</f>
        <v>4000</v>
      </c>
      <c r="AD189" s="496"/>
      <c r="AE189" s="496"/>
      <c r="AF189" s="496"/>
      <c r="AG189" s="496"/>
      <c r="AH189" s="496">
        <f t="shared" si="173"/>
        <v>4104</v>
      </c>
      <c r="AI189" s="496">
        <f t="shared" si="174"/>
        <v>4104</v>
      </c>
      <c r="AJ189" s="496"/>
      <c r="AK189" s="496"/>
      <c r="AL189" s="496">
        <f t="shared" si="152"/>
        <v>2600</v>
      </c>
      <c r="AM189" s="496">
        <f t="shared" si="153"/>
        <v>2600</v>
      </c>
      <c r="AN189" s="496">
        <f t="shared" si="150"/>
        <v>0</v>
      </c>
      <c r="AO189" s="496">
        <f t="shared" si="151"/>
        <v>0</v>
      </c>
      <c r="AP189" s="496">
        <f>AQ189</f>
        <v>2600</v>
      </c>
      <c r="AQ189" s="496">
        <v>2600</v>
      </c>
      <c r="AR189" s="496"/>
      <c r="AS189" s="496"/>
      <c r="AT189" s="494"/>
      <c r="AU189" s="484">
        <f t="shared" si="158"/>
        <v>0</v>
      </c>
      <c r="AV189" s="484">
        <f t="shared" si="155"/>
        <v>0</v>
      </c>
      <c r="AW189" s="562"/>
      <c r="AX189" s="572"/>
      <c r="BG189" s="488">
        <f t="shared" si="170"/>
        <v>0</v>
      </c>
    </row>
    <row r="190" spans="1:59" s="510" customFormat="1" ht="59.25" customHeight="1">
      <c r="A190" s="582">
        <v>2</v>
      </c>
      <c r="B190" s="552" t="s">
        <v>481</v>
      </c>
      <c r="C190" s="629" t="s">
        <v>460</v>
      </c>
      <c r="D190" s="629"/>
      <c r="E190" s="629" t="s">
        <v>993</v>
      </c>
      <c r="F190" s="629"/>
      <c r="G190" s="629"/>
      <c r="H190" s="503"/>
      <c r="I190" s="494" t="s">
        <v>627</v>
      </c>
      <c r="J190" s="563" t="s">
        <v>482</v>
      </c>
      <c r="K190" s="496">
        <v>7500</v>
      </c>
      <c r="L190" s="496">
        <v>7500</v>
      </c>
      <c r="M190" s="496"/>
      <c r="N190" s="496"/>
      <c r="O190" s="496"/>
      <c r="P190" s="496"/>
      <c r="Q190" s="496">
        <f>M190+X190</f>
        <v>98</v>
      </c>
      <c r="R190" s="496">
        <f>N190+Y190</f>
        <v>98</v>
      </c>
      <c r="S190" s="496">
        <f>T190</f>
        <v>7500</v>
      </c>
      <c r="T190" s="496">
        <v>7500</v>
      </c>
      <c r="U190" s="496"/>
      <c r="V190" s="496"/>
      <c r="W190" s="496">
        <v>2500</v>
      </c>
      <c r="X190" s="496">
        <v>98</v>
      </c>
      <c r="Y190" s="496">
        <v>98</v>
      </c>
      <c r="Z190" s="496"/>
      <c r="AA190" s="496"/>
      <c r="AB190" s="496">
        <v>2500</v>
      </c>
      <c r="AC190" s="496">
        <v>2500</v>
      </c>
      <c r="AD190" s="496"/>
      <c r="AE190" s="496"/>
      <c r="AF190" s="547">
        <v>0</v>
      </c>
      <c r="AG190" s="547">
        <v>1760.6</v>
      </c>
      <c r="AH190" s="496">
        <f t="shared" si="173"/>
        <v>2598</v>
      </c>
      <c r="AI190" s="496">
        <f t="shared" si="174"/>
        <v>2598</v>
      </c>
      <c r="AJ190" s="496"/>
      <c r="AK190" s="496"/>
      <c r="AL190" s="496">
        <f t="shared" si="152"/>
        <v>2000</v>
      </c>
      <c r="AM190" s="496">
        <f t="shared" si="153"/>
        <v>2000</v>
      </c>
      <c r="AN190" s="496">
        <f t="shared" si="150"/>
        <v>0</v>
      </c>
      <c r="AO190" s="496">
        <f t="shared" si="151"/>
        <v>0</v>
      </c>
      <c r="AP190" s="496">
        <f>AQ190</f>
        <v>2000</v>
      </c>
      <c r="AQ190" s="496">
        <v>2000</v>
      </c>
      <c r="AR190" s="496"/>
      <c r="AS190" s="496"/>
      <c r="AT190" s="494"/>
      <c r="AU190" s="484">
        <f t="shared" si="158"/>
        <v>0</v>
      </c>
      <c r="AV190" s="484">
        <f t="shared" si="155"/>
        <v>0</v>
      </c>
      <c r="AW190" s="562"/>
      <c r="AX190" s="572"/>
      <c r="BG190" s="488">
        <f t="shared" si="170"/>
        <v>0</v>
      </c>
    </row>
    <row r="191" spans="1:59" s="80" customFormat="1" ht="59.25" customHeight="1">
      <c r="A191" s="478" t="s">
        <v>280</v>
      </c>
      <c r="B191" s="539" t="s">
        <v>289</v>
      </c>
      <c r="C191" s="615"/>
      <c r="D191" s="615"/>
      <c r="E191" s="615"/>
      <c r="F191" s="615"/>
      <c r="G191" s="615"/>
      <c r="H191" s="615"/>
      <c r="I191" s="615"/>
      <c r="J191" s="527"/>
      <c r="K191" s="602">
        <f t="shared" ref="K191:AS191" si="187">K192</f>
        <v>2700</v>
      </c>
      <c r="L191" s="602">
        <f t="shared" si="187"/>
        <v>2700</v>
      </c>
      <c r="M191" s="602">
        <f t="shared" si="187"/>
        <v>0</v>
      </c>
      <c r="N191" s="602">
        <f t="shared" si="187"/>
        <v>0</v>
      </c>
      <c r="O191" s="602">
        <f t="shared" si="187"/>
        <v>0</v>
      </c>
      <c r="P191" s="602">
        <f t="shared" si="187"/>
        <v>0</v>
      </c>
      <c r="Q191" s="602">
        <f t="shared" si="187"/>
        <v>35</v>
      </c>
      <c r="R191" s="602">
        <f t="shared" si="187"/>
        <v>35</v>
      </c>
      <c r="S191" s="602">
        <f t="shared" si="187"/>
        <v>2700</v>
      </c>
      <c r="T191" s="602">
        <f t="shared" si="187"/>
        <v>2700</v>
      </c>
      <c r="U191" s="602">
        <f t="shared" si="187"/>
        <v>0</v>
      </c>
      <c r="V191" s="602">
        <f t="shared" si="187"/>
        <v>0</v>
      </c>
      <c r="W191" s="602">
        <f t="shared" si="187"/>
        <v>35</v>
      </c>
      <c r="X191" s="602">
        <f t="shared" si="187"/>
        <v>35</v>
      </c>
      <c r="Y191" s="602">
        <f t="shared" si="187"/>
        <v>35</v>
      </c>
      <c r="Z191" s="602">
        <f t="shared" si="187"/>
        <v>0</v>
      </c>
      <c r="AA191" s="602">
        <f t="shared" si="187"/>
        <v>0</v>
      </c>
      <c r="AB191" s="602">
        <f t="shared" si="187"/>
        <v>0</v>
      </c>
      <c r="AC191" s="602">
        <f t="shared" si="187"/>
        <v>0</v>
      </c>
      <c r="AD191" s="602">
        <f t="shared" si="187"/>
        <v>0</v>
      </c>
      <c r="AE191" s="602">
        <f t="shared" si="187"/>
        <v>0</v>
      </c>
      <c r="AF191" s="602">
        <f t="shared" si="187"/>
        <v>0</v>
      </c>
      <c r="AG191" s="602">
        <f t="shared" si="187"/>
        <v>0</v>
      </c>
      <c r="AH191" s="602">
        <f t="shared" si="187"/>
        <v>35</v>
      </c>
      <c r="AI191" s="602">
        <f t="shared" si="187"/>
        <v>35</v>
      </c>
      <c r="AJ191" s="602"/>
      <c r="AK191" s="602"/>
      <c r="AL191" s="602">
        <f t="shared" si="187"/>
        <v>950</v>
      </c>
      <c r="AM191" s="602">
        <f t="shared" si="187"/>
        <v>950</v>
      </c>
      <c r="AN191" s="602">
        <f t="shared" si="187"/>
        <v>0</v>
      </c>
      <c r="AO191" s="602">
        <f t="shared" si="187"/>
        <v>0</v>
      </c>
      <c r="AP191" s="602">
        <f t="shared" si="187"/>
        <v>950</v>
      </c>
      <c r="AQ191" s="602">
        <f t="shared" si="187"/>
        <v>950</v>
      </c>
      <c r="AR191" s="602">
        <f t="shared" si="187"/>
        <v>0</v>
      </c>
      <c r="AS191" s="602">
        <f t="shared" si="187"/>
        <v>0</v>
      </c>
      <c r="AT191" s="526"/>
      <c r="AU191" s="484">
        <f t="shared" si="158"/>
        <v>0</v>
      </c>
      <c r="AV191" s="523"/>
      <c r="AW191" s="526"/>
      <c r="AX191" s="531"/>
      <c r="AZ191" s="532"/>
      <c r="BA191" s="532"/>
      <c r="BG191" s="488">
        <f t="shared" si="170"/>
        <v>0</v>
      </c>
    </row>
    <row r="192" spans="1:59" s="80" customFormat="1" ht="59.25" customHeight="1">
      <c r="A192" s="556" t="s">
        <v>35</v>
      </c>
      <c r="B192" s="557" t="s">
        <v>45</v>
      </c>
      <c r="C192" s="615"/>
      <c r="D192" s="615"/>
      <c r="E192" s="615"/>
      <c r="F192" s="615"/>
      <c r="G192" s="615"/>
      <c r="H192" s="615"/>
      <c r="I192" s="615"/>
      <c r="J192" s="527"/>
      <c r="K192" s="602">
        <f t="shared" ref="K192:AI192" si="188">SUM(K193:K193)</f>
        <v>2700</v>
      </c>
      <c r="L192" s="602">
        <f t="shared" si="188"/>
        <v>2700</v>
      </c>
      <c r="M192" s="602">
        <f t="shared" si="188"/>
        <v>0</v>
      </c>
      <c r="N192" s="602">
        <f t="shared" si="188"/>
        <v>0</v>
      </c>
      <c r="O192" s="602">
        <f t="shared" si="188"/>
        <v>0</v>
      </c>
      <c r="P192" s="602">
        <f t="shared" si="188"/>
        <v>0</v>
      </c>
      <c r="Q192" s="602">
        <f t="shared" si="188"/>
        <v>35</v>
      </c>
      <c r="R192" s="602">
        <f t="shared" si="188"/>
        <v>35</v>
      </c>
      <c r="S192" s="602">
        <f t="shared" si="188"/>
        <v>2700</v>
      </c>
      <c r="T192" s="602">
        <f t="shared" si="188"/>
        <v>2700</v>
      </c>
      <c r="U192" s="602">
        <f t="shared" si="188"/>
        <v>0</v>
      </c>
      <c r="V192" s="602">
        <f t="shared" si="188"/>
        <v>0</v>
      </c>
      <c r="W192" s="602">
        <f t="shared" si="188"/>
        <v>35</v>
      </c>
      <c r="X192" s="602">
        <f t="shared" si="188"/>
        <v>35</v>
      </c>
      <c r="Y192" s="602">
        <f t="shared" si="188"/>
        <v>35</v>
      </c>
      <c r="Z192" s="602">
        <f t="shared" si="188"/>
        <v>0</v>
      </c>
      <c r="AA192" s="602">
        <f t="shared" si="188"/>
        <v>0</v>
      </c>
      <c r="AB192" s="602">
        <f t="shared" si="188"/>
        <v>0</v>
      </c>
      <c r="AC192" s="602">
        <f t="shared" si="188"/>
        <v>0</v>
      </c>
      <c r="AD192" s="602">
        <f t="shared" si="188"/>
        <v>0</v>
      </c>
      <c r="AE192" s="602">
        <f t="shared" si="188"/>
        <v>0</v>
      </c>
      <c r="AF192" s="602">
        <f t="shared" si="188"/>
        <v>0</v>
      </c>
      <c r="AG192" s="602">
        <f t="shared" si="188"/>
        <v>0</v>
      </c>
      <c r="AH192" s="602">
        <f t="shared" si="188"/>
        <v>35</v>
      </c>
      <c r="AI192" s="602">
        <f t="shared" si="188"/>
        <v>35</v>
      </c>
      <c r="AJ192" s="602"/>
      <c r="AK192" s="602"/>
      <c r="AL192" s="602">
        <f t="shared" ref="AL192:AS192" si="189">SUM(AL193:AL193)</f>
        <v>950</v>
      </c>
      <c r="AM192" s="602">
        <f t="shared" si="189"/>
        <v>950</v>
      </c>
      <c r="AN192" s="602">
        <f t="shared" si="189"/>
        <v>0</v>
      </c>
      <c r="AO192" s="602">
        <f t="shared" si="189"/>
        <v>0</v>
      </c>
      <c r="AP192" s="602">
        <f t="shared" si="189"/>
        <v>950</v>
      </c>
      <c r="AQ192" s="602">
        <f>SUM(AQ193:AQ193)</f>
        <v>950</v>
      </c>
      <c r="AR192" s="602">
        <f t="shared" si="189"/>
        <v>0</v>
      </c>
      <c r="AS192" s="602">
        <f t="shared" si="189"/>
        <v>0</v>
      </c>
      <c r="AT192" s="526"/>
      <c r="AU192" s="484">
        <f t="shared" si="158"/>
        <v>0</v>
      </c>
      <c r="AV192" s="523"/>
      <c r="AW192" s="526"/>
      <c r="AX192" s="531"/>
      <c r="AZ192" s="532"/>
      <c r="BA192" s="532"/>
      <c r="BG192" s="488">
        <f t="shared" si="170"/>
        <v>0</v>
      </c>
    </row>
    <row r="193" spans="1:59" s="510" customFormat="1" ht="59.25" customHeight="1">
      <c r="A193" s="582">
        <v>1</v>
      </c>
      <c r="B193" s="552" t="s">
        <v>484</v>
      </c>
      <c r="C193" s="629" t="s">
        <v>460</v>
      </c>
      <c r="D193" s="629"/>
      <c r="E193" s="629" t="s">
        <v>993</v>
      </c>
      <c r="F193" s="629"/>
      <c r="G193" s="629"/>
      <c r="H193" s="503"/>
      <c r="I193" s="503"/>
      <c r="J193" s="634" t="s">
        <v>806</v>
      </c>
      <c r="K193" s="513">
        <v>2700</v>
      </c>
      <c r="L193" s="513">
        <f>K193</f>
        <v>2700</v>
      </c>
      <c r="M193" s="496"/>
      <c r="N193" s="496"/>
      <c r="O193" s="496"/>
      <c r="P193" s="496"/>
      <c r="Q193" s="496">
        <f>M193+X193</f>
        <v>35</v>
      </c>
      <c r="R193" s="496">
        <f>N193+Y193</f>
        <v>35</v>
      </c>
      <c r="S193" s="496">
        <v>2700</v>
      </c>
      <c r="T193" s="496">
        <v>2700</v>
      </c>
      <c r="U193" s="496"/>
      <c r="V193" s="496"/>
      <c r="W193" s="496">
        <v>35</v>
      </c>
      <c r="X193" s="496">
        <v>35</v>
      </c>
      <c r="Y193" s="496">
        <v>35</v>
      </c>
      <c r="Z193" s="496"/>
      <c r="AA193" s="496"/>
      <c r="AB193" s="496"/>
      <c r="AC193" s="496"/>
      <c r="AD193" s="496"/>
      <c r="AE193" s="496"/>
      <c r="AF193" s="496"/>
      <c r="AG193" s="496"/>
      <c r="AH193" s="496">
        <f t="shared" si="173"/>
        <v>35</v>
      </c>
      <c r="AI193" s="496">
        <f t="shared" si="174"/>
        <v>35</v>
      </c>
      <c r="AJ193" s="496"/>
      <c r="AK193" s="496"/>
      <c r="AL193" s="496">
        <f>AM193</f>
        <v>950</v>
      </c>
      <c r="AM193" s="496">
        <f>AP193</f>
        <v>950</v>
      </c>
      <c r="AN193" s="496">
        <f t="shared" si="150"/>
        <v>0</v>
      </c>
      <c r="AO193" s="496">
        <f t="shared" si="151"/>
        <v>0</v>
      </c>
      <c r="AP193" s="496">
        <f>AQ193</f>
        <v>950</v>
      </c>
      <c r="AQ193" s="496">
        <v>950</v>
      </c>
      <c r="AR193" s="496"/>
      <c r="AS193" s="496"/>
      <c r="AT193" s="494" t="s">
        <v>1068</v>
      </c>
      <c r="AU193" s="484">
        <f t="shared" si="158"/>
        <v>0</v>
      </c>
      <c r="AV193" s="484">
        <f t="shared" si="155"/>
        <v>0</v>
      </c>
      <c r="AW193" s="562"/>
      <c r="AX193" s="572"/>
      <c r="BG193" s="488">
        <f t="shared" si="170"/>
        <v>0</v>
      </c>
    </row>
    <row r="194" spans="1:59" s="80" customFormat="1" ht="59.25" hidden="1" customHeight="1">
      <c r="A194" s="582"/>
      <c r="B194" s="560"/>
      <c r="C194" s="629"/>
      <c r="D194" s="629"/>
      <c r="E194" s="629"/>
      <c r="F194" s="629"/>
      <c r="G194" s="629"/>
      <c r="H194" s="526"/>
      <c r="I194" s="526"/>
      <c r="J194" s="563"/>
      <c r="K194" s="496"/>
      <c r="L194" s="496"/>
      <c r="M194" s="496"/>
      <c r="N194" s="496"/>
      <c r="O194" s="496"/>
      <c r="P194" s="496"/>
      <c r="Q194" s="496"/>
      <c r="R194" s="496"/>
      <c r="S194" s="496"/>
      <c r="T194" s="496"/>
      <c r="U194" s="496"/>
      <c r="V194" s="496"/>
      <c r="W194" s="496"/>
      <c r="X194" s="496"/>
      <c r="Y194" s="496"/>
      <c r="Z194" s="496"/>
      <c r="AA194" s="496"/>
      <c r="AB194" s="496"/>
      <c r="AC194" s="496"/>
      <c r="AD194" s="496"/>
      <c r="AE194" s="496"/>
      <c r="AF194" s="496"/>
      <c r="AG194" s="496"/>
      <c r="AH194" s="482"/>
      <c r="AI194" s="482"/>
      <c r="AJ194" s="482"/>
      <c r="AK194" s="482"/>
      <c r="AL194" s="482"/>
      <c r="AM194" s="482"/>
      <c r="AN194" s="482"/>
      <c r="AO194" s="482"/>
      <c r="AP194" s="496"/>
      <c r="AQ194" s="496"/>
      <c r="AR194" s="496"/>
      <c r="AS194" s="496"/>
      <c r="AT194" s="503"/>
      <c r="AU194" s="484"/>
      <c r="AV194" s="484"/>
      <c r="AW194" s="562"/>
      <c r="AX194" s="548"/>
      <c r="AY194" s="82"/>
      <c r="BG194" s="488"/>
    </row>
    <row r="195" spans="1:59" s="81" customFormat="1" ht="59.25" customHeight="1">
      <c r="A195" s="533"/>
      <c r="B195" s="479" t="s">
        <v>331</v>
      </c>
      <c r="C195" s="480"/>
      <c r="D195" s="480"/>
      <c r="E195" s="480"/>
      <c r="F195" s="480"/>
      <c r="G195" s="480"/>
      <c r="H195" s="480"/>
      <c r="I195" s="480"/>
      <c r="J195" s="481" t="s">
        <v>315</v>
      </c>
      <c r="K195" s="482"/>
      <c r="L195" s="482"/>
      <c r="M195" s="482"/>
      <c r="N195" s="482"/>
      <c r="O195" s="482"/>
      <c r="P195" s="482"/>
      <c r="Q195" s="496"/>
      <c r="R195" s="496"/>
      <c r="S195" s="482"/>
      <c r="T195" s="482"/>
      <c r="U195" s="482"/>
      <c r="V195" s="482"/>
      <c r="W195" s="482"/>
      <c r="X195" s="482"/>
      <c r="Y195" s="482"/>
      <c r="Z195" s="482"/>
      <c r="AA195" s="482"/>
      <c r="AB195" s="482"/>
      <c r="AC195" s="482">
        <v>28507</v>
      </c>
      <c r="AD195" s="482"/>
      <c r="AE195" s="482"/>
      <c r="AF195" s="482"/>
      <c r="AG195" s="482"/>
      <c r="AH195" s="482"/>
      <c r="AI195" s="482"/>
      <c r="AJ195" s="482"/>
      <c r="AK195" s="482"/>
      <c r="AL195" s="482"/>
      <c r="AM195" s="482"/>
      <c r="AN195" s="482"/>
      <c r="AO195" s="482"/>
      <c r="AP195" s="482"/>
      <c r="AQ195" s="482">
        <v>29888</v>
      </c>
      <c r="AR195" s="482"/>
      <c r="AS195" s="482"/>
      <c r="AT195" s="551">
        <f>AQ195-AQ196</f>
        <v>0</v>
      </c>
      <c r="AU195" s="484">
        <f t="shared" si="158"/>
        <v>-29888</v>
      </c>
      <c r="AV195" s="484">
        <f t="shared" si="155"/>
        <v>0</v>
      </c>
      <c r="AW195" s="551"/>
      <c r="AX195" s="537"/>
      <c r="BG195" s="488">
        <f t="shared" si="170"/>
        <v>-29888</v>
      </c>
    </row>
    <row r="196" spans="1:59" s="81" customFormat="1" ht="59.25" customHeight="1">
      <c r="A196" s="533" t="s">
        <v>183</v>
      </c>
      <c r="B196" s="534" t="s">
        <v>485</v>
      </c>
      <c r="C196" s="480"/>
      <c r="D196" s="480"/>
      <c r="E196" s="480"/>
      <c r="F196" s="480"/>
      <c r="G196" s="480"/>
      <c r="H196" s="540"/>
      <c r="I196" s="480"/>
      <c r="J196" s="481"/>
      <c r="K196" s="482">
        <f t="shared" ref="K196:AI196" si="190">K197+K202+K207+K215</f>
        <v>174645</v>
      </c>
      <c r="L196" s="482">
        <f t="shared" si="190"/>
        <v>110890</v>
      </c>
      <c r="M196" s="482">
        <f t="shared" si="190"/>
        <v>59404</v>
      </c>
      <c r="N196" s="482">
        <f t="shared" si="190"/>
        <v>0</v>
      </c>
      <c r="O196" s="482">
        <f t="shared" si="190"/>
        <v>57177</v>
      </c>
      <c r="P196" s="482">
        <f t="shared" si="190"/>
        <v>5200</v>
      </c>
      <c r="Q196" s="482">
        <f t="shared" si="190"/>
        <v>66621</v>
      </c>
      <c r="R196" s="482">
        <f t="shared" si="190"/>
        <v>7217</v>
      </c>
      <c r="S196" s="482">
        <f t="shared" si="190"/>
        <v>142510</v>
      </c>
      <c r="T196" s="482">
        <f t="shared" si="190"/>
        <v>138110</v>
      </c>
      <c r="U196" s="482">
        <f t="shared" si="190"/>
        <v>0</v>
      </c>
      <c r="V196" s="482">
        <f t="shared" si="190"/>
        <v>0</v>
      </c>
      <c r="W196" s="482">
        <f t="shared" si="190"/>
        <v>21270</v>
      </c>
      <c r="X196" s="482">
        <f t="shared" si="190"/>
        <v>7217</v>
      </c>
      <c r="Y196" s="482">
        <f t="shared" si="190"/>
        <v>7217</v>
      </c>
      <c r="Z196" s="482">
        <f t="shared" si="190"/>
        <v>0</v>
      </c>
      <c r="AA196" s="482">
        <f t="shared" si="190"/>
        <v>0</v>
      </c>
      <c r="AB196" s="482">
        <f t="shared" si="190"/>
        <v>15806</v>
      </c>
      <c r="AC196" s="482">
        <f t="shared" si="190"/>
        <v>15806</v>
      </c>
      <c r="AD196" s="482">
        <f t="shared" si="190"/>
        <v>0</v>
      </c>
      <c r="AE196" s="482">
        <f t="shared" si="190"/>
        <v>0</v>
      </c>
      <c r="AF196" s="482">
        <f t="shared" si="190"/>
        <v>8259.3070000000007</v>
      </c>
      <c r="AG196" s="482">
        <f t="shared" si="190"/>
        <v>13149.307000000001</v>
      </c>
      <c r="AH196" s="482">
        <f t="shared" si="190"/>
        <v>23031</v>
      </c>
      <c r="AI196" s="482">
        <f t="shared" si="190"/>
        <v>23031</v>
      </c>
      <c r="AJ196" s="482"/>
      <c r="AK196" s="482"/>
      <c r="AL196" s="482">
        <f t="shared" ref="AL196:AS196" si="191">AL197+AL202+AL207+AL215</f>
        <v>34349.333333333336</v>
      </c>
      <c r="AM196" s="482">
        <f t="shared" si="191"/>
        <v>34349.333333333336</v>
      </c>
      <c r="AN196" s="482">
        <f t="shared" si="191"/>
        <v>0</v>
      </c>
      <c r="AO196" s="482" t="e">
        <f t="shared" si="191"/>
        <v>#VALUE!</v>
      </c>
      <c r="AP196" s="482">
        <f t="shared" si="191"/>
        <v>29888</v>
      </c>
      <c r="AQ196" s="482">
        <f t="shared" si="191"/>
        <v>29888</v>
      </c>
      <c r="AR196" s="482">
        <f t="shared" si="191"/>
        <v>0</v>
      </c>
      <c r="AS196" s="482">
        <f t="shared" si="191"/>
        <v>0</v>
      </c>
      <c r="AT196" s="551"/>
      <c r="AU196" s="484">
        <f t="shared" si="158"/>
        <v>0</v>
      </c>
      <c r="AV196" s="484">
        <f t="shared" si="155"/>
        <v>0</v>
      </c>
      <c r="AW196" s="551"/>
      <c r="AX196" s="537"/>
      <c r="BG196" s="488">
        <f t="shared" si="170"/>
        <v>4461.3333333333358</v>
      </c>
    </row>
    <row r="197" spans="1:59" s="81" customFormat="1" ht="59.25" customHeight="1">
      <c r="A197" s="478" t="s">
        <v>33</v>
      </c>
      <c r="B197" s="539" t="s">
        <v>287</v>
      </c>
      <c r="C197" s="480"/>
      <c r="D197" s="480"/>
      <c r="E197" s="480"/>
      <c r="F197" s="480"/>
      <c r="G197" s="480"/>
      <c r="H197" s="480"/>
      <c r="I197" s="537"/>
      <c r="J197" s="481"/>
      <c r="K197" s="519">
        <f>K198</f>
        <v>85955</v>
      </c>
      <c r="L197" s="519">
        <f t="shared" ref="L197:AS197" si="192">L198</f>
        <v>22200</v>
      </c>
      <c r="M197" s="519">
        <f t="shared" si="192"/>
        <v>59404</v>
      </c>
      <c r="N197" s="519">
        <f t="shared" si="192"/>
        <v>0</v>
      </c>
      <c r="O197" s="519">
        <f t="shared" si="192"/>
        <v>57177</v>
      </c>
      <c r="P197" s="519">
        <f t="shared" si="192"/>
        <v>5200</v>
      </c>
      <c r="Q197" s="519">
        <f t="shared" si="192"/>
        <v>65662</v>
      </c>
      <c r="R197" s="519">
        <f t="shared" si="192"/>
        <v>6258</v>
      </c>
      <c r="S197" s="519">
        <f t="shared" si="192"/>
        <v>26600</v>
      </c>
      <c r="T197" s="519">
        <f t="shared" si="192"/>
        <v>22200</v>
      </c>
      <c r="U197" s="519">
        <f t="shared" si="192"/>
        <v>0</v>
      </c>
      <c r="V197" s="519">
        <f t="shared" si="192"/>
        <v>0</v>
      </c>
      <c r="W197" s="519">
        <f t="shared" si="192"/>
        <v>12700</v>
      </c>
      <c r="X197" s="519">
        <f t="shared" si="192"/>
        <v>6258</v>
      </c>
      <c r="Y197" s="519">
        <f t="shared" si="192"/>
        <v>6258</v>
      </c>
      <c r="Z197" s="519">
        <f t="shared" si="192"/>
        <v>0</v>
      </c>
      <c r="AA197" s="519">
        <f t="shared" si="192"/>
        <v>0</v>
      </c>
      <c r="AB197" s="519">
        <f t="shared" si="192"/>
        <v>7200</v>
      </c>
      <c r="AC197" s="519">
        <f t="shared" si="192"/>
        <v>7200</v>
      </c>
      <c r="AD197" s="519">
        <f t="shared" si="192"/>
        <v>0</v>
      </c>
      <c r="AE197" s="519">
        <f t="shared" si="192"/>
        <v>0</v>
      </c>
      <c r="AF197" s="519">
        <f t="shared" si="192"/>
        <v>5518.7029999999995</v>
      </c>
      <c r="AG197" s="519">
        <f t="shared" si="192"/>
        <v>5518.7029999999995</v>
      </c>
      <c r="AH197" s="519">
        <f t="shared" si="192"/>
        <v>13466</v>
      </c>
      <c r="AI197" s="519">
        <f t="shared" si="192"/>
        <v>13466</v>
      </c>
      <c r="AJ197" s="519"/>
      <c r="AK197" s="519"/>
      <c r="AL197" s="519">
        <f t="shared" si="192"/>
        <v>7828</v>
      </c>
      <c r="AM197" s="519">
        <f t="shared" si="192"/>
        <v>7828</v>
      </c>
      <c r="AN197" s="519">
        <f t="shared" si="192"/>
        <v>0</v>
      </c>
      <c r="AO197" s="519">
        <f t="shared" si="192"/>
        <v>0</v>
      </c>
      <c r="AP197" s="519">
        <f t="shared" si="192"/>
        <v>6500</v>
      </c>
      <c r="AQ197" s="519">
        <f>AQ198</f>
        <v>6500</v>
      </c>
      <c r="AR197" s="519">
        <f t="shared" si="192"/>
        <v>0</v>
      </c>
      <c r="AS197" s="519">
        <f t="shared" si="192"/>
        <v>0</v>
      </c>
      <c r="AT197" s="551"/>
      <c r="AU197" s="484">
        <f t="shared" ref="AU197:AU221" si="193">AP197-AQ197</f>
        <v>0</v>
      </c>
      <c r="AV197" s="489"/>
      <c r="AW197" s="551"/>
      <c r="AX197" s="537"/>
      <c r="BG197" s="488">
        <f t="shared" ref="BG197:BG225" si="194">AL197-AQ197</f>
        <v>1328</v>
      </c>
    </row>
    <row r="198" spans="1:59" s="81" customFormat="1" ht="59.25" customHeight="1">
      <c r="A198" s="556" t="s">
        <v>35</v>
      </c>
      <c r="B198" s="557" t="s">
        <v>743</v>
      </c>
      <c r="C198" s="480"/>
      <c r="D198" s="480"/>
      <c r="E198" s="480"/>
      <c r="F198" s="480"/>
      <c r="G198" s="480"/>
      <c r="H198" s="480"/>
      <c r="I198" s="537"/>
      <c r="J198" s="481"/>
      <c r="K198" s="519">
        <f>SUM(K199:K201)</f>
        <v>85955</v>
      </c>
      <c r="L198" s="519">
        <f t="shared" ref="L198:AS198" si="195">SUM(L199:L201)</f>
        <v>22200</v>
      </c>
      <c r="M198" s="519">
        <f t="shared" si="195"/>
        <v>59404</v>
      </c>
      <c r="N198" s="519">
        <f t="shared" si="195"/>
        <v>0</v>
      </c>
      <c r="O198" s="519">
        <f t="shared" si="195"/>
        <v>57177</v>
      </c>
      <c r="P198" s="519">
        <f t="shared" si="195"/>
        <v>5200</v>
      </c>
      <c r="Q198" s="519">
        <f t="shared" si="195"/>
        <v>65662</v>
      </c>
      <c r="R198" s="519">
        <f t="shared" si="195"/>
        <v>6258</v>
      </c>
      <c r="S198" s="519">
        <f t="shared" si="195"/>
        <v>26600</v>
      </c>
      <c r="T198" s="519">
        <f t="shared" si="195"/>
        <v>22200</v>
      </c>
      <c r="U198" s="519">
        <f t="shared" si="195"/>
        <v>0</v>
      </c>
      <c r="V198" s="519">
        <f t="shared" si="195"/>
        <v>0</v>
      </c>
      <c r="W198" s="519">
        <f t="shared" ref="W198" si="196">SUM(W199:W201)</f>
        <v>12700</v>
      </c>
      <c r="X198" s="519">
        <f t="shared" si="195"/>
        <v>6258</v>
      </c>
      <c r="Y198" s="519">
        <f t="shared" si="195"/>
        <v>6258</v>
      </c>
      <c r="Z198" s="519">
        <f t="shared" si="195"/>
        <v>0</v>
      </c>
      <c r="AA198" s="519">
        <f t="shared" si="195"/>
        <v>0</v>
      </c>
      <c r="AB198" s="519">
        <f t="shared" si="195"/>
        <v>7200</v>
      </c>
      <c r="AC198" s="519">
        <f t="shared" si="195"/>
        <v>7200</v>
      </c>
      <c r="AD198" s="519">
        <f t="shared" si="195"/>
        <v>0</v>
      </c>
      <c r="AE198" s="519">
        <f t="shared" si="195"/>
        <v>0</v>
      </c>
      <c r="AF198" s="519">
        <f t="shared" si="195"/>
        <v>5518.7029999999995</v>
      </c>
      <c r="AG198" s="519">
        <f t="shared" si="195"/>
        <v>5518.7029999999995</v>
      </c>
      <c r="AH198" s="519">
        <f t="shared" si="195"/>
        <v>13466</v>
      </c>
      <c r="AI198" s="519">
        <f t="shared" si="195"/>
        <v>13466</v>
      </c>
      <c r="AJ198" s="519"/>
      <c r="AK198" s="519"/>
      <c r="AL198" s="519">
        <f t="shared" si="195"/>
        <v>7828</v>
      </c>
      <c r="AM198" s="519">
        <f t="shared" si="195"/>
        <v>7828</v>
      </c>
      <c r="AN198" s="519">
        <f t="shared" si="195"/>
        <v>0</v>
      </c>
      <c r="AO198" s="519">
        <f t="shared" si="195"/>
        <v>0</v>
      </c>
      <c r="AP198" s="519">
        <f t="shared" si="195"/>
        <v>6500</v>
      </c>
      <c r="AQ198" s="519">
        <f>SUM(AQ199:AQ201)</f>
        <v>6500</v>
      </c>
      <c r="AR198" s="519">
        <f t="shared" si="195"/>
        <v>0</v>
      </c>
      <c r="AS198" s="519">
        <f t="shared" si="195"/>
        <v>0</v>
      </c>
      <c r="AT198" s="551"/>
      <c r="AU198" s="484">
        <f t="shared" si="193"/>
        <v>0</v>
      </c>
      <c r="AV198" s="489"/>
      <c r="AW198" s="551"/>
      <c r="AX198" s="537"/>
      <c r="BG198" s="488">
        <f t="shared" si="194"/>
        <v>1328</v>
      </c>
    </row>
    <row r="199" spans="1:59" s="82" customFormat="1" ht="59.25" customHeight="1">
      <c r="A199" s="582">
        <v>1</v>
      </c>
      <c r="B199" s="560" t="s">
        <v>490</v>
      </c>
      <c r="C199" s="494" t="s">
        <v>486</v>
      </c>
      <c r="D199" s="494"/>
      <c r="E199" s="629" t="s">
        <v>994</v>
      </c>
      <c r="F199" s="494"/>
      <c r="G199" s="494"/>
      <c r="H199" s="494"/>
      <c r="I199" s="494"/>
      <c r="J199" s="495" t="s">
        <v>491</v>
      </c>
      <c r="K199" s="496">
        <v>61000</v>
      </c>
      <c r="L199" s="496">
        <v>10000</v>
      </c>
      <c r="M199" s="496">
        <v>47921</v>
      </c>
      <c r="N199" s="496"/>
      <c r="O199" s="496">
        <v>47921</v>
      </c>
      <c r="P199" s="496">
        <v>4200</v>
      </c>
      <c r="Q199" s="496">
        <f t="shared" ref="Q199:R201" si="197">M199+X199</f>
        <v>52593</v>
      </c>
      <c r="R199" s="496">
        <f t="shared" si="197"/>
        <v>4672</v>
      </c>
      <c r="S199" s="520">
        <v>10000</v>
      </c>
      <c r="T199" s="520">
        <v>10000</v>
      </c>
      <c r="U199" s="496"/>
      <c r="V199" s="496"/>
      <c r="W199" s="496">
        <f>4000+3000</f>
        <v>7000</v>
      </c>
      <c r="X199" s="496">
        <v>4672</v>
      </c>
      <c r="Y199" s="496">
        <v>4672</v>
      </c>
      <c r="Z199" s="496"/>
      <c r="AA199" s="496"/>
      <c r="AB199" s="520">
        <v>3000</v>
      </c>
      <c r="AC199" s="520">
        <v>3000</v>
      </c>
      <c r="AD199" s="613"/>
      <c r="AE199" s="520"/>
      <c r="AF199" s="547">
        <v>3000</v>
      </c>
      <c r="AG199" s="547">
        <v>3000</v>
      </c>
      <c r="AH199" s="496">
        <f t="shared" ref="AH199:AI201" si="198">X199+AB199</f>
        <v>7672</v>
      </c>
      <c r="AI199" s="496">
        <f t="shared" si="198"/>
        <v>7672</v>
      </c>
      <c r="AJ199" s="496"/>
      <c r="AK199" s="496"/>
      <c r="AL199" s="496">
        <f>AM199</f>
        <v>2328</v>
      </c>
      <c r="AM199" s="496">
        <f>T199-AI199</f>
        <v>2328</v>
      </c>
      <c r="AN199" s="496">
        <f t="shared" ref="AL199:AO201" si="199">AR199</f>
        <v>0</v>
      </c>
      <c r="AO199" s="496">
        <f t="shared" si="199"/>
        <v>0</v>
      </c>
      <c r="AP199" s="520">
        <f>AQ199</f>
        <v>2000</v>
      </c>
      <c r="AQ199" s="520">
        <v>2000</v>
      </c>
      <c r="AR199" s="520"/>
      <c r="AS199" s="520"/>
      <c r="AT199" s="536"/>
      <c r="AU199" s="484">
        <f t="shared" si="193"/>
        <v>0</v>
      </c>
      <c r="AV199" s="484">
        <f>V199-AA199</f>
        <v>0</v>
      </c>
      <c r="AW199" s="536"/>
      <c r="AX199" s="548"/>
      <c r="BG199" s="488">
        <f t="shared" si="194"/>
        <v>328</v>
      </c>
    </row>
    <row r="200" spans="1:59" s="82" customFormat="1" ht="59.25" customHeight="1">
      <c r="A200" s="582">
        <v>2</v>
      </c>
      <c r="B200" s="560" t="s">
        <v>492</v>
      </c>
      <c r="C200" s="494" t="s">
        <v>486</v>
      </c>
      <c r="D200" s="494"/>
      <c r="E200" s="629" t="s">
        <v>994</v>
      </c>
      <c r="F200" s="494"/>
      <c r="G200" s="494"/>
      <c r="H200" s="494"/>
      <c r="I200" s="494"/>
      <c r="J200" s="495" t="s">
        <v>493</v>
      </c>
      <c r="K200" s="496">
        <v>13955</v>
      </c>
      <c r="L200" s="496">
        <v>5600</v>
      </c>
      <c r="M200" s="496">
        <v>11483</v>
      </c>
      <c r="N200" s="496"/>
      <c r="O200" s="496">
        <v>9256</v>
      </c>
      <c r="P200" s="496">
        <v>1000</v>
      </c>
      <c r="Q200" s="496">
        <f t="shared" si="197"/>
        <v>12983</v>
      </c>
      <c r="R200" s="496">
        <f t="shared" si="197"/>
        <v>1500</v>
      </c>
      <c r="S200" s="496">
        <v>5600</v>
      </c>
      <c r="T200" s="496">
        <v>5600</v>
      </c>
      <c r="U200" s="496"/>
      <c r="V200" s="496"/>
      <c r="W200" s="496">
        <v>2500</v>
      </c>
      <c r="X200" s="496">
        <v>1500</v>
      </c>
      <c r="Y200" s="496">
        <v>1500</v>
      </c>
      <c r="Z200" s="496"/>
      <c r="AA200" s="496"/>
      <c r="AB200" s="520">
        <f>AC200</f>
        <v>1000</v>
      </c>
      <c r="AC200" s="520">
        <v>1000</v>
      </c>
      <c r="AD200" s="520"/>
      <c r="AE200" s="520"/>
      <c r="AF200" s="520"/>
      <c r="AG200" s="520"/>
      <c r="AH200" s="496">
        <v>2508</v>
      </c>
      <c r="AI200" s="496">
        <f>AH200</f>
        <v>2508</v>
      </c>
      <c r="AJ200" s="496"/>
      <c r="AK200" s="496"/>
      <c r="AL200" s="496">
        <f>AM200</f>
        <v>3000</v>
      </c>
      <c r="AM200" s="496">
        <v>3000</v>
      </c>
      <c r="AN200" s="496">
        <f t="shared" si="199"/>
        <v>0</v>
      </c>
      <c r="AO200" s="496">
        <f t="shared" si="199"/>
        <v>0</v>
      </c>
      <c r="AP200" s="520">
        <f>AQ200</f>
        <v>2000</v>
      </c>
      <c r="AQ200" s="520">
        <v>2000</v>
      </c>
      <c r="AR200" s="520"/>
      <c r="AS200" s="520"/>
      <c r="AT200" s="536" t="s">
        <v>807</v>
      </c>
      <c r="AU200" s="484">
        <f t="shared" si="193"/>
        <v>0</v>
      </c>
      <c r="AV200" s="484">
        <f>V200-AA200</f>
        <v>0</v>
      </c>
      <c r="AW200" s="536"/>
      <c r="AX200" s="548"/>
      <c r="BG200" s="488">
        <f t="shared" si="194"/>
        <v>1000</v>
      </c>
    </row>
    <row r="201" spans="1:59" s="510" customFormat="1" ht="59.25" customHeight="1">
      <c r="A201" s="635">
        <v>3</v>
      </c>
      <c r="B201" s="636" t="s">
        <v>494</v>
      </c>
      <c r="C201" s="494" t="s">
        <v>486</v>
      </c>
      <c r="D201" s="494"/>
      <c r="E201" s="629" t="s">
        <v>994</v>
      </c>
      <c r="F201" s="494"/>
      <c r="G201" s="494"/>
      <c r="H201" s="503"/>
      <c r="I201" s="503"/>
      <c r="J201" s="637" t="s">
        <v>495</v>
      </c>
      <c r="K201" s="496">
        <v>11000</v>
      </c>
      <c r="L201" s="496">
        <v>6600</v>
      </c>
      <c r="M201" s="496"/>
      <c r="N201" s="496"/>
      <c r="O201" s="496"/>
      <c r="P201" s="496"/>
      <c r="Q201" s="496">
        <f t="shared" si="197"/>
        <v>86</v>
      </c>
      <c r="R201" s="496">
        <f t="shared" si="197"/>
        <v>86</v>
      </c>
      <c r="S201" s="496">
        <v>11000</v>
      </c>
      <c r="T201" s="496">
        <v>6600</v>
      </c>
      <c r="U201" s="496"/>
      <c r="V201" s="496"/>
      <c r="W201" s="496">
        <v>3200</v>
      </c>
      <c r="X201" s="496">
        <v>86</v>
      </c>
      <c r="Y201" s="496">
        <v>86</v>
      </c>
      <c r="Z201" s="496"/>
      <c r="AA201" s="496"/>
      <c r="AB201" s="496">
        <v>3200</v>
      </c>
      <c r="AC201" s="496">
        <v>3200</v>
      </c>
      <c r="AD201" s="496"/>
      <c r="AE201" s="496"/>
      <c r="AF201" s="547">
        <v>2518.703</v>
      </c>
      <c r="AG201" s="547">
        <v>2518.703</v>
      </c>
      <c r="AH201" s="496">
        <f t="shared" si="198"/>
        <v>3286</v>
      </c>
      <c r="AI201" s="496">
        <f t="shared" si="198"/>
        <v>3286</v>
      </c>
      <c r="AJ201" s="496"/>
      <c r="AK201" s="496"/>
      <c r="AL201" s="496">
        <f t="shared" si="199"/>
        <v>2500</v>
      </c>
      <c r="AM201" s="496">
        <f t="shared" si="199"/>
        <v>2500</v>
      </c>
      <c r="AN201" s="496">
        <f t="shared" si="199"/>
        <v>0</v>
      </c>
      <c r="AO201" s="496">
        <f t="shared" si="199"/>
        <v>0</v>
      </c>
      <c r="AP201" s="496">
        <v>2500</v>
      </c>
      <c r="AQ201" s="496">
        <f>AP201</f>
        <v>2500</v>
      </c>
      <c r="AR201" s="496"/>
      <c r="AS201" s="496"/>
      <c r="AT201" s="536" t="s">
        <v>794</v>
      </c>
      <c r="AU201" s="484">
        <f t="shared" si="193"/>
        <v>0</v>
      </c>
      <c r="AV201" s="484">
        <f>V201-AA201</f>
        <v>0</v>
      </c>
      <c r="AW201" s="638"/>
      <c r="AX201" s="572"/>
      <c r="BG201" s="488">
        <f t="shared" si="194"/>
        <v>0</v>
      </c>
    </row>
    <row r="202" spans="1:59" s="80" customFormat="1" ht="59.25" customHeight="1">
      <c r="A202" s="478" t="s">
        <v>46</v>
      </c>
      <c r="B202" s="539" t="s">
        <v>288</v>
      </c>
      <c r="C202" s="526"/>
      <c r="D202" s="526"/>
      <c r="E202" s="526"/>
      <c r="F202" s="526"/>
      <c r="G202" s="526"/>
      <c r="H202" s="526"/>
      <c r="I202" s="526"/>
      <c r="J202" s="527"/>
      <c r="K202" s="525">
        <f>K203</f>
        <v>29800</v>
      </c>
      <c r="L202" s="525">
        <f t="shared" ref="L202:AS202" si="200">L203</f>
        <v>29800</v>
      </c>
      <c r="M202" s="525">
        <f t="shared" si="200"/>
        <v>0</v>
      </c>
      <c r="N202" s="525">
        <f t="shared" si="200"/>
        <v>0</v>
      </c>
      <c r="O202" s="525">
        <f t="shared" si="200"/>
        <v>0</v>
      </c>
      <c r="P202" s="525">
        <f t="shared" si="200"/>
        <v>0</v>
      </c>
      <c r="Q202" s="525">
        <f t="shared" si="200"/>
        <v>390</v>
      </c>
      <c r="R202" s="525">
        <f t="shared" si="200"/>
        <v>390</v>
      </c>
      <c r="S202" s="525">
        <f t="shared" si="200"/>
        <v>28020</v>
      </c>
      <c r="T202" s="525">
        <f t="shared" si="200"/>
        <v>28020</v>
      </c>
      <c r="U202" s="525">
        <f t="shared" si="200"/>
        <v>0</v>
      </c>
      <c r="V202" s="525">
        <f t="shared" si="200"/>
        <v>0</v>
      </c>
      <c r="W202" s="525">
        <f t="shared" si="200"/>
        <v>8300</v>
      </c>
      <c r="X202" s="525">
        <f t="shared" si="200"/>
        <v>390</v>
      </c>
      <c r="Y202" s="525">
        <f t="shared" si="200"/>
        <v>390</v>
      </c>
      <c r="Z202" s="525">
        <f t="shared" si="200"/>
        <v>0</v>
      </c>
      <c r="AA202" s="525">
        <f t="shared" si="200"/>
        <v>0</v>
      </c>
      <c r="AB202" s="525">
        <f t="shared" si="200"/>
        <v>8300</v>
      </c>
      <c r="AC202" s="525">
        <f t="shared" si="200"/>
        <v>8300</v>
      </c>
      <c r="AD202" s="525">
        <f t="shared" si="200"/>
        <v>0</v>
      </c>
      <c r="AE202" s="525">
        <f t="shared" si="200"/>
        <v>0</v>
      </c>
      <c r="AF202" s="525">
        <f t="shared" si="200"/>
        <v>2740.6040000000003</v>
      </c>
      <c r="AG202" s="525">
        <f t="shared" si="200"/>
        <v>7630.6040000000003</v>
      </c>
      <c r="AH202" s="525">
        <f t="shared" si="200"/>
        <v>8690</v>
      </c>
      <c r="AI202" s="525">
        <f t="shared" si="200"/>
        <v>8690</v>
      </c>
      <c r="AJ202" s="525"/>
      <c r="AK202" s="525"/>
      <c r="AL202" s="525">
        <f t="shared" si="200"/>
        <v>8600</v>
      </c>
      <c r="AM202" s="525">
        <f t="shared" si="200"/>
        <v>8600</v>
      </c>
      <c r="AN202" s="525">
        <f t="shared" si="200"/>
        <v>0</v>
      </c>
      <c r="AO202" s="525">
        <f t="shared" si="200"/>
        <v>0</v>
      </c>
      <c r="AP202" s="525">
        <f t="shared" si="200"/>
        <v>8600</v>
      </c>
      <c r="AQ202" s="525">
        <f t="shared" si="200"/>
        <v>8600</v>
      </c>
      <c r="AR202" s="525">
        <f t="shared" si="200"/>
        <v>0</v>
      </c>
      <c r="AS202" s="525">
        <f t="shared" si="200"/>
        <v>0</v>
      </c>
      <c r="AT202" s="526"/>
      <c r="AU202" s="484">
        <f t="shared" si="193"/>
        <v>0</v>
      </c>
      <c r="AV202" s="501"/>
      <c r="AW202" s="541"/>
      <c r="AX202" s="542"/>
      <c r="BG202" s="488">
        <f t="shared" si="194"/>
        <v>0</v>
      </c>
    </row>
    <row r="203" spans="1:59" s="80" customFormat="1" ht="59.25" customHeight="1">
      <c r="A203" s="556" t="s">
        <v>35</v>
      </c>
      <c r="B203" s="639" t="s">
        <v>743</v>
      </c>
      <c r="C203" s="526"/>
      <c r="D203" s="526"/>
      <c r="E203" s="526"/>
      <c r="F203" s="526"/>
      <c r="G203" s="526"/>
      <c r="H203" s="526"/>
      <c r="I203" s="526"/>
      <c r="J203" s="527"/>
      <c r="K203" s="525">
        <f>SUM(K204:K206)</f>
        <v>29800</v>
      </c>
      <c r="L203" s="525">
        <f t="shared" ref="L203:AS203" si="201">SUM(L204:L206)</f>
        <v>29800</v>
      </c>
      <c r="M203" s="525">
        <f t="shared" si="201"/>
        <v>0</v>
      </c>
      <c r="N203" s="525">
        <f t="shared" si="201"/>
        <v>0</v>
      </c>
      <c r="O203" s="525">
        <f t="shared" si="201"/>
        <v>0</v>
      </c>
      <c r="P203" s="525">
        <f t="shared" si="201"/>
        <v>0</v>
      </c>
      <c r="Q203" s="525">
        <f t="shared" si="201"/>
        <v>390</v>
      </c>
      <c r="R203" s="525">
        <f t="shared" si="201"/>
        <v>390</v>
      </c>
      <c r="S203" s="525">
        <f t="shared" si="201"/>
        <v>28020</v>
      </c>
      <c r="T203" s="525">
        <f t="shared" si="201"/>
        <v>28020</v>
      </c>
      <c r="U203" s="525">
        <f t="shared" si="201"/>
        <v>0</v>
      </c>
      <c r="V203" s="525">
        <f t="shared" si="201"/>
        <v>0</v>
      </c>
      <c r="W203" s="525">
        <f t="shared" ref="W203" si="202">SUM(W204:W206)</f>
        <v>8300</v>
      </c>
      <c r="X203" s="525">
        <f t="shared" si="201"/>
        <v>390</v>
      </c>
      <c r="Y203" s="525">
        <f t="shared" si="201"/>
        <v>390</v>
      </c>
      <c r="Z203" s="525">
        <f t="shared" si="201"/>
        <v>0</v>
      </c>
      <c r="AA203" s="525">
        <f t="shared" si="201"/>
        <v>0</v>
      </c>
      <c r="AB203" s="525">
        <f t="shared" si="201"/>
        <v>8300</v>
      </c>
      <c r="AC203" s="525">
        <f t="shared" si="201"/>
        <v>8300</v>
      </c>
      <c r="AD203" s="525">
        <f t="shared" si="201"/>
        <v>0</v>
      </c>
      <c r="AE203" s="525">
        <f t="shared" si="201"/>
        <v>0</v>
      </c>
      <c r="AF203" s="525">
        <f t="shared" si="201"/>
        <v>2740.6040000000003</v>
      </c>
      <c r="AG203" s="525">
        <f t="shared" si="201"/>
        <v>7630.6040000000003</v>
      </c>
      <c r="AH203" s="525">
        <f t="shared" si="201"/>
        <v>8690</v>
      </c>
      <c r="AI203" s="525">
        <f t="shared" si="201"/>
        <v>8690</v>
      </c>
      <c r="AJ203" s="525"/>
      <c r="AK203" s="525"/>
      <c r="AL203" s="525">
        <f t="shared" si="201"/>
        <v>8600</v>
      </c>
      <c r="AM203" s="525">
        <f t="shared" si="201"/>
        <v>8600</v>
      </c>
      <c r="AN203" s="525">
        <f t="shared" si="201"/>
        <v>0</v>
      </c>
      <c r="AO203" s="525">
        <f t="shared" si="201"/>
        <v>0</v>
      </c>
      <c r="AP203" s="525">
        <f t="shared" si="201"/>
        <v>8600</v>
      </c>
      <c r="AQ203" s="525">
        <f>SUM(AQ204:AQ206)</f>
        <v>8600</v>
      </c>
      <c r="AR203" s="525">
        <f t="shared" si="201"/>
        <v>0</v>
      </c>
      <c r="AS203" s="525">
        <f t="shared" si="201"/>
        <v>0</v>
      </c>
      <c r="AT203" s="526"/>
      <c r="AU203" s="484">
        <f t="shared" si="193"/>
        <v>0</v>
      </c>
      <c r="AV203" s="501"/>
      <c r="AW203" s="541"/>
      <c r="AX203" s="542"/>
      <c r="BG203" s="488">
        <f t="shared" si="194"/>
        <v>0</v>
      </c>
    </row>
    <row r="204" spans="1:59" s="510" customFormat="1" ht="59.25" customHeight="1">
      <c r="A204" s="640">
        <v>1</v>
      </c>
      <c r="B204" s="522" t="s">
        <v>496</v>
      </c>
      <c r="C204" s="641" t="s">
        <v>486</v>
      </c>
      <c r="D204" s="641"/>
      <c r="E204" s="629" t="s">
        <v>994</v>
      </c>
      <c r="F204" s="641"/>
      <c r="G204" s="641"/>
      <c r="H204" s="503"/>
      <c r="I204" s="494" t="s">
        <v>948</v>
      </c>
      <c r="J204" s="495" t="s">
        <v>497</v>
      </c>
      <c r="K204" s="520">
        <v>17800</v>
      </c>
      <c r="L204" s="520">
        <v>17800</v>
      </c>
      <c r="M204" s="496"/>
      <c r="N204" s="496"/>
      <c r="O204" s="496"/>
      <c r="P204" s="496"/>
      <c r="Q204" s="496">
        <f t="shared" ref="Q204:R206" si="203">M204+X204</f>
        <v>234</v>
      </c>
      <c r="R204" s="496">
        <f t="shared" si="203"/>
        <v>234</v>
      </c>
      <c r="S204" s="496">
        <v>16020</v>
      </c>
      <c r="T204" s="496">
        <v>16020</v>
      </c>
      <c r="U204" s="496"/>
      <c r="V204" s="496"/>
      <c r="W204" s="496">
        <v>4800</v>
      </c>
      <c r="X204" s="496">
        <v>234</v>
      </c>
      <c r="Y204" s="496">
        <v>234</v>
      </c>
      <c r="Z204" s="496"/>
      <c r="AA204" s="496"/>
      <c r="AB204" s="520">
        <v>4800</v>
      </c>
      <c r="AC204" s="520">
        <v>4800</v>
      </c>
      <c r="AD204" s="496"/>
      <c r="AE204" s="496"/>
      <c r="AF204" s="520">
        <v>606</v>
      </c>
      <c r="AG204" s="520">
        <v>4506</v>
      </c>
      <c r="AH204" s="496">
        <f t="shared" si="173"/>
        <v>5034</v>
      </c>
      <c r="AI204" s="496">
        <f t="shared" si="174"/>
        <v>5034</v>
      </c>
      <c r="AJ204" s="496"/>
      <c r="AK204" s="496"/>
      <c r="AL204" s="496">
        <f>AM204</f>
        <v>4000</v>
      </c>
      <c r="AM204" s="496">
        <f>AP204</f>
        <v>4000</v>
      </c>
      <c r="AN204" s="496">
        <f t="shared" ref="AN204:AN210" si="204">AR204</f>
        <v>0</v>
      </c>
      <c r="AO204" s="496">
        <f t="shared" ref="AO204:AO210" si="205">AS204</f>
        <v>0</v>
      </c>
      <c r="AP204" s="496">
        <f>AQ204</f>
        <v>4000</v>
      </c>
      <c r="AQ204" s="496">
        <v>4000</v>
      </c>
      <c r="AR204" s="496"/>
      <c r="AS204" s="496"/>
      <c r="AT204" s="494"/>
      <c r="AU204" s="484">
        <f t="shared" si="193"/>
        <v>0</v>
      </c>
      <c r="AV204" s="484">
        <f t="shared" ref="AV204:AV233" si="206">V204-AA204</f>
        <v>0</v>
      </c>
      <c r="AW204" s="562"/>
      <c r="AX204" s="572"/>
      <c r="BG204" s="488">
        <f t="shared" si="194"/>
        <v>0</v>
      </c>
    </row>
    <row r="205" spans="1:59" s="510" customFormat="1" ht="59.25" customHeight="1">
      <c r="A205" s="635">
        <v>2</v>
      </c>
      <c r="B205" s="642" t="s">
        <v>498</v>
      </c>
      <c r="C205" s="494" t="s">
        <v>486</v>
      </c>
      <c r="D205" s="494"/>
      <c r="E205" s="629" t="s">
        <v>994</v>
      </c>
      <c r="F205" s="494"/>
      <c r="G205" s="494"/>
      <c r="H205" s="503"/>
      <c r="I205" s="503"/>
      <c r="J205" s="563" t="s">
        <v>499</v>
      </c>
      <c r="K205" s="496">
        <v>5000</v>
      </c>
      <c r="L205" s="496">
        <v>5000</v>
      </c>
      <c r="M205" s="496"/>
      <c r="N205" s="496"/>
      <c r="O205" s="496"/>
      <c r="P205" s="496"/>
      <c r="Q205" s="496">
        <f t="shared" si="203"/>
        <v>65</v>
      </c>
      <c r="R205" s="496">
        <f t="shared" si="203"/>
        <v>65</v>
      </c>
      <c r="S205" s="496">
        <f>T205</f>
        <v>5000</v>
      </c>
      <c r="T205" s="496">
        <v>5000</v>
      </c>
      <c r="U205" s="496"/>
      <c r="V205" s="496"/>
      <c r="W205" s="496">
        <v>1400</v>
      </c>
      <c r="X205" s="496">
        <v>65</v>
      </c>
      <c r="Y205" s="496">
        <v>65</v>
      </c>
      <c r="Z205" s="496"/>
      <c r="AA205" s="496"/>
      <c r="AB205" s="496">
        <v>1400</v>
      </c>
      <c r="AC205" s="496">
        <v>1400</v>
      </c>
      <c r="AD205" s="496"/>
      <c r="AE205" s="496"/>
      <c r="AF205" s="520">
        <v>292.536</v>
      </c>
      <c r="AG205" s="520">
        <v>1282.5360000000001</v>
      </c>
      <c r="AH205" s="496">
        <f t="shared" si="173"/>
        <v>1465</v>
      </c>
      <c r="AI205" s="496">
        <f t="shared" si="174"/>
        <v>1465</v>
      </c>
      <c r="AJ205" s="496"/>
      <c r="AK205" s="496"/>
      <c r="AL205" s="496">
        <f t="shared" ref="AL205:AL206" si="207">AP205</f>
        <v>1600</v>
      </c>
      <c r="AM205" s="496">
        <f t="shared" ref="AM205:AM206" si="208">AQ205</f>
        <v>1600</v>
      </c>
      <c r="AN205" s="496">
        <f t="shared" si="204"/>
        <v>0</v>
      </c>
      <c r="AO205" s="496">
        <f t="shared" si="205"/>
        <v>0</v>
      </c>
      <c r="AP205" s="496">
        <f>AQ205</f>
        <v>1600</v>
      </c>
      <c r="AQ205" s="496">
        <v>1600</v>
      </c>
      <c r="AR205" s="496"/>
      <c r="AS205" s="496"/>
      <c r="AT205" s="494"/>
      <c r="AU205" s="484">
        <f t="shared" si="193"/>
        <v>0</v>
      </c>
      <c r="AV205" s="484">
        <f t="shared" si="206"/>
        <v>0</v>
      </c>
      <c r="AW205" s="562">
        <f>AC205</f>
        <v>1400</v>
      </c>
      <c r="AX205" s="548">
        <f>T205</f>
        <v>5000</v>
      </c>
      <c r="AY205" s="82">
        <f>T205-AX205</f>
        <v>0</v>
      </c>
      <c r="BE205" s="510">
        <v>1</v>
      </c>
      <c r="BF205" s="510">
        <f>AQ205</f>
        <v>1600</v>
      </c>
      <c r="BG205" s="488">
        <f t="shared" si="194"/>
        <v>0</v>
      </c>
    </row>
    <row r="206" spans="1:59" s="510" customFormat="1" ht="59.25" customHeight="1">
      <c r="A206" s="635">
        <v>3</v>
      </c>
      <c r="B206" s="596" t="s">
        <v>500</v>
      </c>
      <c r="C206" s="494" t="s">
        <v>486</v>
      </c>
      <c r="D206" s="494"/>
      <c r="E206" s="629" t="s">
        <v>994</v>
      </c>
      <c r="F206" s="494"/>
      <c r="G206" s="494"/>
      <c r="H206" s="503"/>
      <c r="I206" s="503"/>
      <c r="J206" s="563" t="s">
        <v>501</v>
      </c>
      <c r="K206" s="496">
        <v>7000</v>
      </c>
      <c r="L206" s="496">
        <v>7000</v>
      </c>
      <c r="M206" s="496"/>
      <c r="N206" s="496"/>
      <c r="O206" s="496"/>
      <c r="P206" s="496"/>
      <c r="Q206" s="496">
        <f t="shared" si="203"/>
        <v>91</v>
      </c>
      <c r="R206" s="496">
        <f t="shared" si="203"/>
        <v>91</v>
      </c>
      <c r="S206" s="496">
        <f>T206</f>
        <v>7000</v>
      </c>
      <c r="T206" s="496">
        <v>7000</v>
      </c>
      <c r="U206" s="496"/>
      <c r="V206" s="496"/>
      <c r="W206" s="496">
        <v>2100</v>
      </c>
      <c r="X206" s="496">
        <v>91</v>
      </c>
      <c r="Y206" s="496">
        <v>91</v>
      </c>
      <c r="Z206" s="496"/>
      <c r="AA206" s="496"/>
      <c r="AB206" s="496">
        <v>2100</v>
      </c>
      <c r="AC206" s="520">
        <v>2100</v>
      </c>
      <c r="AD206" s="496"/>
      <c r="AE206" s="496"/>
      <c r="AF206" s="520">
        <v>1842.068</v>
      </c>
      <c r="AG206" s="520">
        <v>1842.068</v>
      </c>
      <c r="AH206" s="496">
        <f t="shared" si="173"/>
        <v>2191</v>
      </c>
      <c r="AI206" s="496">
        <f t="shared" si="174"/>
        <v>2191</v>
      </c>
      <c r="AJ206" s="496"/>
      <c r="AK206" s="496"/>
      <c r="AL206" s="496">
        <f t="shared" si="207"/>
        <v>3000</v>
      </c>
      <c r="AM206" s="496">
        <f t="shared" si="208"/>
        <v>3000</v>
      </c>
      <c r="AN206" s="496">
        <f t="shared" si="204"/>
        <v>0</v>
      </c>
      <c r="AO206" s="496">
        <f t="shared" si="205"/>
        <v>0</v>
      </c>
      <c r="AP206" s="496">
        <f>AQ206</f>
        <v>3000</v>
      </c>
      <c r="AQ206" s="496">
        <v>3000</v>
      </c>
      <c r="AR206" s="496"/>
      <c r="AS206" s="496"/>
      <c r="AT206" s="494"/>
      <c r="AU206" s="484">
        <f t="shared" si="193"/>
        <v>0</v>
      </c>
      <c r="AV206" s="484">
        <f t="shared" si="206"/>
        <v>0</v>
      </c>
      <c r="AW206" s="562">
        <f>AC206</f>
        <v>2100</v>
      </c>
      <c r="AX206" s="548">
        <f>T206</f>
        <v>7000</v>
      </c>
      <c r="AY206" s="82">
        <f>T206-AX206</f>
        <v>0</v>
      </c>
      <c r="BE206" s="510">
        <v>1</v>
      </c>
      <c r="BF206" s="510">
        <f>AQ206</f>
        <v>3000</v>
      </c>
      <c r="BG206" s="488">
        <f t="shared" si="194"/>
        <v>0</v>
      </c>
    </row>
    <row r="207" spans="1:59" s="80" customFormat="1" ht="59.25" customHeight="1">
      <c r="A207" s="478" t="s">
        <v>279</v>
      </c>
      <c r="B207" s="539" t="s">
        <v>289</v>
      </c>
      <c r="C207" s="480"/>
      <c r="D207" s="480"/>
      <c r="E207" s="480"/>
      <c r="F207" s="480"/>
      <c r="G207" s="480"/>
      <c r="H207" s="526"/>
      <c r="I207" s="526"/>
      <c r="J207" s="558"/>
      <c r="K207" s="482">
        <f>K208</f>
        <v>58890</v>
      </c>
      <c r="L207" s="482">
        <f t="shared" ref="L207:AS207" si="209">L208</f>
        <v>58890</v>
      </c>
      <c r="M207" s="482">
        <f t="shared" si="209"/>
        <v>0</v>
      </c>
      <c r="N207" s="482">
        <f t="shared" si="209"/>
        <v>0</v>
      </c>
      <c r="O207" s="482">
        <f t="shared" si="209"/>
        <v>0</v>
      </c>
      <c r="P207" s="482">
        <f t="shared" si="209"/>
        <v>0</v>
      </c>
      <c r="Q207" s="482">
        <f t="shared" si="209"/>
        <v>556</v>
      </c>
      <c r="R207" s="482">
        <f t="shared" si="209"/>
        <v>556</v>
      </c>
      <c r="S207" s="482">
        <f t="shared" si="209"/>
        <v>58890</v>
      </c>
      <c r="T207" s="482">
        <f t="shared" si="209"/>
        <v>58890</v>
      </c>
      <c r="U207" s="482">
        <f t="shared" si="209"/>
        <v>0</v>
      </c>
      <c r="V207" s="482">
        <f t="shared" si="209"/>
        <v>0</v>
      </c>
      <c r="W207" s="482">
        <f t="shared" si="209"/>
        <v>270</v>
      </c>
      <c r="X207" s="482">
        <f t="shared" si="209"/>
        <v>556</v>
      </c>
      <c r="Y207" s="482">
        <f t="shared" si="209"/>
        <v>556</v>
      </c>
      <c r="Z207" s="482">
        <f t="shared" si="209"/>
        <v>0</v>
      </c>
      <c r="AA207" s="482">
        <f t="shared" si="209"/>
        <v>0</v>
      </c>
      <c r="AB207" s="482">
        <f t="shared" si="209"/>
        <v>306</v>
      </c>
      <c r="AC207" s="482">
        <f t="shared" si="209"/>
        <v>306</v>
      </c>
      <c r="AD207" s="482">
        <f t="shared" si="209"/>
        <v>0</v>
      </c>
      <c r="AE207" s="482">
        <f t="shared" si="209"/>
        <v>0</v>
      </c>
      <c r="AF207" s="482">
        <f t="shared" si="209"/>
        <v>0</v>
      </c>
      <c r="AG207" s="482">
        <f t="shared" si="209"/>
        <v>0</v>
      </c>
      <c r="AH207" s="482">
        <f t="shared" si="209"/>
        <v>862</v>
      </c>
      <c r="AI207" s="482">
        <f t="shared" si="209"/>
        <v>862</v>
      </c>
      <c r="AJ207" s="482"/>
      <c r="AK207" s="482"/>
      <c r="AL207" s="482">
        <f t="shared" si="209"/>
        <v>17771.333333333336</v>
      </c>
      <c r="AM207" s="482">
        <f t="shared" si="209"/>
        <v>17771.333333333336</v>
      </c>
      <c r="AN207" s="482">
        <f t="shared" si="209"/>
        <v>0</v>
      </c>
      <c r="AO207" s="482">
        <f t="shared" si="209"/>
        <v>0</v>
      </c>
      <c r="AP207" s="482">
        <f t="shared" si="209"/>
        <v>14638</v>
      </c>
      <c r="AQ207" s="482">
        <f t="shared" si="209"/>
        <v>14638</v>
      </c>
      <c r="AR207" s="482">
        <f t="shared" si="209"/>
        <v>0</v>
      </c>
      <c r="AS207" s="482">
        <f t="shared" si="209"/>
        <v>0</v>
      </c>
      <c r="AT207" s="480"/>
      <c r="AU207" s="484">
        <f t="shared" si="193"/>
        <v>0</v>
      </c>
      <c r="AV207" s="489"/>
      <c r="AW207" s="541"/>
      <c r="AX207" s="537"/>
      <c r="AY207" s="81"/>
      <c r="BG207" s="488">
        <f t="shared" si="194"/>
        <v>3133.3333333333358</v>
      </c>
    </row>
    <row r="208" spans="1:59" s="80" customFormat="1" ht="59.25" customHeight="1">
      <c r="A208" s="556" t="s">
        <v>35</v>
      </c>
      <c r="B208" s="557" t="s">
        <v>743</v>
      </c>
      <c r="C208" s="480"/>
      <c r="D208" s="480"/>
      <c r="E208" s="480"/>
      <c r="F208" s="480"/>
      <c r="G208" s="480"/>
      <c r="H208" s="526"/>
      <c r="I208" s="526"/>
      <c r="J208" s="558"/>
      <c r="K208" s="482">
        <f t="shared" ref="K208:AI208" si="210">SUM(K209:K214)</f>
        <v>58890</v>
      </c>
      <c r="L208" s="482">
        <f t="shared" si="210"/>
        <v>58890</v>
      </c>
      <c r="M208" s="482">
        <f t="shared" si="210"/>
        <v>0</v>
      </c>
      <c r="N208" s="482">
        <f t="shared" si="210"/>
        <v>0</v>
      </c>
      <c r="O208" s="482">
        <f t="shared" si="210"/>
        <v>0</v>
      </c>
      <c r="P208" s="482">
        <f t="shared" si="210"/>
        <v>0</v>
      </c>
      <c r="Q208" s="482">
        <f t="shared" si="210"/>
        <v>556</v>
      </c>
      <c r="R208" s="482">
        <f t="shared" si="210"/>
        <v>556</v>
      </c>
      <c r="S208" s="482">
        <f t="shared" si="210"/>
        <v>58890</v>
      </c>
      <c r="T208" s="482">
        <f t="shared" si="210"/>
        <v>58890</v>
      </c>
      <c r="U208" s="482">
        <f t="shared" si="210"/>
        <v>0</v>
      </c>
      <c r="V208" s="482">
        <f t="shared" si="210"/>
        <v>0</v>
      </c>
      <c r="W208" s="482">
        <f t="shared" ref="W208" si="211">SUM(W209:W214)</f>
        <v>270</v>
      </c>
      <c r="X208" s="482">
        <f t="shared" si="210"/>
        <v>556</v>
      </c>
      <c r="Y208" s="482">
        <f t="shared" si="210"/>
        <v>556</v>
      </c>
      <c r="Z208" s="482">
        <f t="shared" si="210"/>
        <v>0</v>
      </c>
      <c r="AA208" s="482">
        <f t="shared" si="210"/>
        <v>0</v>
      </c>
      <c r="AB208" s="482">
        <f t="shared" si="210"/>
        <v>306</v>
      </c>
      <c r="AC208" s="482">
        <f t="shared" si="210"/>
        <v>306</v>
      </c>
      <c r="AD208" s="482">
        <f t="shared" si="210"/>
        <v>0</v>
      </c>
      <c r="AE208" s="482">
        <f t="shared" si="210"/>
        <v>0</v>
      </c>
      <c r="AF208" s="482">
        <f t="shared" si="210"/>
        <v>0</v>
      </c>
      <c r="AG208" s="482">
        <f t="shared" si="210"/>
        <v>0</v>
      </c>
      <c r="AH208" s="482">
        <f t="shared" si="210"/>
        <v>862</v>
      </c>
      <c r="AI208" s="482">
        <f t="shared" si="210"/>
        <v>862</v>
      </c>
      <c r="AJ208" s="482"/>
      <c r="AK208" s="482"/>
      <c r="AL208" s="482">
        <f t="shared" ref="AL208:AS208" si="212">SUM(AL209:AL214)</f>
        <v>17771.333333333336</v>
      </c>
      <c r="AM208" s="482">
        <f t="shared" si="212"/>
        <v>17771.333333333336</v>
      </c>
      <c r="AN208" s="482">
        <f t="shared" si="212"/>
        <v>0</v>
      </c>
      <c r="AO208" s="482">
        <f t="shared" si="212"/>
        <v>0</v>
      </c>
      <c r="AP208" s="482">
        <f t="shared" si="212"/>
        <v>14638</v>
      </c>
      <c r="AQ208" s="482">
        <f>SUM(AQ209:AQ214)</f>
        <v>14638</v>
      </c>
      <c r="AR208" s="482">
        <f t="shared" si="212"/>
        <v>0</v>
      </c>
      <c r="AS208" s="482">
        <f t="shared" si="212"/>
        <v>0</v>
      </c>
      <c r="AT208" s="480"/>
      <c r="AU208" s="484">
        <f t="shared" si="193"/>
        <v>0</v>
      </c>
      <c r="AV208" s="489"/>
      <c r="AW208" s="541"/>
      <c r="AX208" s="537"/>
      <c r="AY208" s="81"/>
      <c r="BG208" s="488">
        <f t="shared" si="194"/>
        <v>3133.3333333333358</v>
      </c>
    </row>
    <row r="209" spans="1:61" s="510" customFormat="1" ht="59.25" customHeight="1">
      <c r="A209" s="635">
        <v>1</v>
      </c>
      <c r="B209" s="643" t="s">
        <v>502</v>
      </c>
      <c r="C209" s="494" t="s">
        <v>486</v>
      </c>
      <c r="D209" s="494"/>
      <c r="E209" s="629" t="s">
        <v>994</v>
      </c>
      <c r="F209" s="494"/>
      <c r="G209" s="494"/>
      <c r="H209" s="503"/>
      <c r="I209" s="503"/>
      <c r="J209" s="563" t="s">
        <v>503</v>
      </c>
      <c r="K209" s="496">
        <v>6700</v>
      </c>
      <c r="L209" s="496">
        <v>6700</v>
      </c>
      <c r="M209" s="496"/>
      <c r="N209" s="496"/>
      <c r="O209" s="496"/>
      <c r="P209" s="496"/>
      <c r="Q209" s="496">
        <f t="shared" ref="Q209:R214" si="213">M209+X209</f>
        <v>91</v>
      </c>
      <c r="R209" s="496">
        <f t="shared" si="213"/>
        <v>91</v>
      </c>
      <c r="S209" s="496">
        <f>T209</f>
        <v>6700</v>
      </c>
      <c r="T209" s="496">
        <v>6700</v>
      </c>
      <c r="U209" s="496"/>
      <c r="V209" s="496"/>
      <c r="W209" s="496">
        <v>91</v>
      </c>
      <c r="X209" s="496">
        <v>91</v>
      </c>
      <c r="Y209" s="496">
        <v>91</v>
      </c>
      <c r="Z209" s="496"/>
      <c r="AA209" s="496"/>
      <c r="AB209" s="496"/>
      <c r="AC209" s="496"/>
      <c r="AD209" s="496"/>
      <c r="AE209" s="496"/>
      <c r="AF209" s="496"/>
      <c r="AG209" s="496"/>
      <c r="AH209" s="496">
        <f t="shared" si="173"/>
        <v>91</v>
      </c>
      <c r="AI209" s="496">
        <f t="shared" si="174"/>
        <v>91</v>
      </c>
      <c r="AJ209" s="496"/>
      <c r="AK209" s="496"/>
      <c r="AL209" s="496">
        <f>T209/3</f>
        <v>2233.3333333333335</v>
      </c>
      <c r="AM209" s="496">
        <f>AL209</f>
        <v>2233.3333333333335</v>
      </c>
      <c r="AN209" s="496">
        <f t="shared" si="204"/>
        <v>0</v>
      </c>
      <c r="AO209" s="496">
        <f t="shared" si="205"/>
        <v>0</v>
      </c>
      <c r="AP209" s="496">
        <f t="shared" ref="AP209:AP214" si="214">AQ209</f>
        <v>2000</v>
      </c>
      <c r="AQ209" s="496">
        <v>2000</v>
      </c>
      <c r="AR209" s="496"/>
      <c r="AS209" s="496"/>
      <c r="AT209" s="563" t="s">
        <v>1068</v>
      </c>
      <c r="AU209" s="484">
        <f t="shared" si="193"/>
        <v>0</v>
      </c>
      <c r="AV209" s="484">
        <f t="shared" ref="AV209:AV214" si="215">V209-AA209</f>
        <v>0</v>
      </c>
      <c r="AW209" s="638"/>
      <c r="AX209" s="572"/>
      <c r="BG209" s="488">
        <f t="shared" si="194"/>
        <v>233.33333333333348</v>
      </c>
    </row>
    <row r="210" spans="1:61" s="510" customFormat="1" ht="59.25" customHeight="1">
      <c r="A210" s="635">
        <v>2</v>
      </c>
      <c r="B210" s="643" t="s">
        <v>504</v>
      </c>
      <c r="C210" s="494" t="s">
        <v>486</v>
      </c>
      <c r="D210" s="494"/>
      <c r="E210" s="629" t="s">
        <v>994</v>
      </c>
      <c r="F210" s="494"/>
      <c r="G210" s="494"/>
      <c r="H210" s="503"/>
      <c r="I210" s="503"/>
      <c r="J210" s="484" t="s">
        <v>808</v>
      </c>
      <c r="K210" s="546">
        <v>7000</v>
      </c>
      <c r="L210" s="546">
        <f>K210</f>
        <v>7000</v>
      </c>
      <c r="M210" s="496"/>
      <c r="N210" s="496"/>
      <c r="O210" s="496"/>
      <c r="P210" s="496"/>
      <c r="Q210" s="496">
        <f t="shared" si="213"/>
        <v>91</v>
      </c>
      <c r="R210" s="496">
        <f t="shared" si="213"/>
        <v>91</v>
      </c>
      <c r="S210" s="496">
        <v>7000</v>
      </c>
      <c r="T210" s="496">
        <v>7000</v>
      </c>
      <c r="U210" s="496"/>
      <c r="V210" s="496"/>
      <c r="W210" s="496"/>
      <c r="X210" s="496">
        <v>91</v>
      </c>
      <c r="Y210" s="496">
        <v>91</v>
      </c>
      <c r="Z210" s="496"/>
      <c r="AA210" s="496"/>
      <c r="AB210" s="496"/>
      <c r="AC210" s="496"/>
      <c r="AD210" s="496"/>
      <c r="AE210" s="496"/>
      <c r="AF210" s="496"/>
      <c r="AG210" s="496"/>
      <c r="AH210" s="496">
        <f t="shared" si="173"/>
        <v>91</v>
      </c>
      <c r="AI210" s="496">
        <f t="shared" si="174"/>
        <v>91</v>
      </c>
      <c r="AJ210" s="496"/>
      <c r="AK210" s="496"/>
      <c r="AL210" s="496">
        <f t="shared" ref="AL210:AL214" si="216">T210/3</f>
        <v>2333.3333333333335</v>
      </c>
      <c r="AM210" s="496">
        <f t="shared" ref="AM210:AM214" si="217">AL210</f>
        <v>2333.3333333333335</v>
      </c>
      <c r="AN210" s="496">
        <f t="shared" si="204"/>
        <v>0</v>
      </c>
      <c r="AO210" s="496">
        <f t="shared" si="205"/>
        <v>0</v>
      </c>
      <c r="AP210" s="496">
        <f t="shared" si="214"/>
        <v>2000</v>
      </c>
      <c r="AQ210" s="496">
        <v>2000</v>
      </c>
      <c r="AR210" s="496"/>
      <c r="AS210" s="496"/>
      <c r="AT210" s="563" t="s">
        <v>1068</v>
      </c>
      <c r="AU210" s="484">
        <f t="shared" si="193"/>
        <v>0</v>
      </c>
      <c r="AV210" s="484">
        <f t="shared" si="215"/>
        <v>0</v>
      </c>
      <c r="AW210" s="562"/>
      <c r="AX210" s="572"/>
      <c r="BG210" s="488">
        <f t="shared" si="194"/>
        <v>333.33333333333348</v>
      </c>
    </row>
    <row r="211" spans="1:61" s="510" customFormat="1" ht="59.25" customHeight="1">
      <c r="A211" s="635">
        <v>3</v>
      </c>
      <c r="B211" s="583" t="s">
        <v>506</v>
      </c>
      <c r="C211" s="494" t="s">
        <v>486</v>
      </c>
      <c r="D211" s="494"/>
      <c r="E211" s="629" t="s">
        <v>994</v>
      </c>
      <c r="F211" s="494"/>
      <c r="G211" s="494"/>
      <c r="H211" s="503"/>
      <c r="I211" s="503"/>
      <c r="J211" s="563" t="s">
        <v>507</v>
      </c>
      <c r="K211" s="496">
        <v>10000</v>
      </c>
      <c r="L211" s="496">
        <f>K211</f>
        <v>10000</v>
      </c>
      <c r="M211" s="496"/>
      <c r="N211" s="496"/>
      <c r="O211" s="496" t="s">
        <v>315</v>
      </c>
      <c r="P211" s="496"/>
      <c r="Q211" s="496">
        <f t="shared" si="213"/>
        <v>195</v>
      </c>
      <c r="R211" s="496">
        <f t="shared" si="213"/>
        <v>195</v>
      </c>
      <c r="S211" s="496">
        <f>T211</f>
        <v>10000</v>
      </c>
      <c r="T211" s="496">
        <v>10000</v>
      </c>
      <c r="U211" s="496"/>
      <c r="V211" s="496"/>
      <c r="W211" s="496"/>
      <c r="X211" s="496">
        <v>195</v>
      </c>
      <c r="Y211" s="496">
        <v>195</v>
      </c>
      <c r="Z211" s="496"/>
      <c r="AA211" s="496"/>
      <c r="AB211" s="496"/>
      <c r="AC211" s="496"/>
      <c r="AD211" s="496"/>
      <c r="AE211" s="496"/>
      <c r="AF211" s="496"/>
      <c r="AG211" s="496"/>
      <c r="AH211" s="496">
        <f t="shared" ref="AH211:AI214" si="218">X211+AB211</f>
        <v>195</v>
      </c>
      <c r="AI211" s="496">
        <f t="shared" si="218"/>
        <v>195</v>
      </c>
      <c r="AJ211" s="496"/>
      <c r="AK211" s="496"/>
      <c r="AL211" s="496">
        <f t="shared" si="216"/>
        <v>3333.3333333333335</v>
      </c>
      <c r="AM211" s="496">
        <f t="shared" si="217"/>
        <v>3333.3333333333335</v>
      </c>
      <c r="AN211" s="496">
        <f t="shared" ref="AN211:AO214" si="219">AR211</f>
        <v>0</v>
      </c>
      <c r="AO211" s="496">
        <f t="shared" si="219"/>
        <v>0</v>
      </c>
      <c r="AP211" s="496">
        <f t="shared" si="214"/>
        <v>3000</v>
      </c>
      <c r="AQ211" s="496">
        <v>3000</v>
      </c>
      <c r="AR211" s="496"/>
      <c r="AS211" s="496"/>
      <c r="AT211" s="563" t="s">
        <v>1068</v>
      </c>
      <c r="AU211" s="484">
        <f t="shared" si="193"/>
        <v>0</v>
      </c>
      <c r="AV211" s="484">
        <f t="shared" si="215"/>
        <v>0</v>
      </c>
      <c r="AW211" s="494"/>
      <c r="AX211" s="572"/>
      <c r="BG211" s="488">
        <f t="shared" si="194"/>
        <v>333.33333333333348</v>
      </c>
    </row>
    <row r="212" spans="1:61" s="510" customFormat="1" ht="59.25" customHeight="1">
      <c r="A212" s="635">
        <v>4</v>
      </c>
      <c r="B212" s="567" t="s">
        <v>809</v>
      </c>
      <c r="C212" s="494" t="s">
        <v>486</v>
      </c>
      <c r="D212" s="494"/>
      <c r="E212" s="494" t="s">
        <v>988</v>
      </c>
      <c r="F212" s="494"/>
      <c r="G212" s="494"/>
      <c r="H212" s="503"/>
      <c r="I212" s="503"/>
      <c r="J212" s="563" t="s">
        <v>508</v>
      </c>
      <c r="K212" s="496">
        <v>14000</v>
      </c>
      <c r="L212" s="496">
        <v>14000</v>
      </c>
      <c r="M212" s="496"/>
      <c r="N212" s="496"/>
      <c r="O212" s="496"/>
      <c r="P212" s="496"/>
      <c r="Q212" s="496">
        <f t="shared" si="213"/>
        <v>179</v>
      </c>
      <c r="R212" s="496">
        <f t="shared" si="213"/>
        <v>179</v>
      </c>
      <c r="S212" s="496">
        <f>T212</f>
        <v>14000</v>
      </c>
      <c r="T212" s="496">
        <v>14000</v>
      </c>
      <c r="U212" s="496"/>
      <c r="V212" s="496"/>
      <c r="W212" s="496">
        <v>179</v>
      </c>
      <c r="X212" s="496">
        <v>179</v>
      </c>
      <c r="Y212" s="496">
        <v>179</v>
      </c>
      <c r="Z212" s="496"/>
      <c r="AA212" s="496"/>
      <c r="AB212" s="496"/>
      <c r="AC212" s="496"/>
      <c r="AD212" s="496"/>
      <c r="AE212" s="496"/>
      <c r="AF212" s="496"/>
      <c r="AG212" s="496"/>
      <c r="AH212" s="496">
        <f t="shared" si="218"/>
        <v>179</v>
      </c>
      <c r="AI212" s="496">
        <f t="shared" si="218"/>
        <v>179</v>
      </c>
      <c r="AJ212" s="496"/>
      <c r="AK212" s="496"/>
      <c r="AL212" s="496">
        <f t="shared" si="216"/>
        <v>4666.666666666667</v>
      </c>
      <c r="AM212" s="496">
        <f t="shared" si="217"/>
        <v>4666.666666666667</v>
      </c>
      <c r="AN212" s="496">
        <f t="shared" si="219"/>
        <v>0</v>
      </c>
      <c r="AO212" s="496">
        <f t="shared" si="219"/>
        <v>0</v>
      </c>
      <c r="AP212" s="496">
        <f t="shared" si="214"/>
        <v>2500</v>
      </c>
      <c r="AQ212" s="496">
        <v>2500</v>
      </c>
      <c r="AR212" s="496"/>
      <c r="AS212" s="496"/>
      <c r="AT212" s="563" t="s">
        <v>1068</v>
      </c>
      <c r="AU212" s="484">
        <f t="shared" si="193"/>
        <v>0</v>
      </c>
      <c r="AV212" s="484">
        <f t="shared" si="215"/>
        <v>0</v>
      </c>
      <c r="AW212" s="562"/>
      <c r="AX212" s="572"/>
      <c r="BG212" s="488">
        <f t="shared" si="194"/>
        <v>2166.666666666667</v>
      </c>
    </row>
    <row r="213" spans="1:61" s="82" customFormat="1" ht="59.25" customHeight="1">
      <c r="A213" s="635">
        <v>5</v>
      </c>
      <c r="B213" s="596" t="s">
        <v>510</v>
      </c>
      <c r="C213" s="494" t="s">
        <v>486</v>
      </c>
      <c r="D213" s="494"/>
      <c r="E213" s="629" t="s">
        <v>994</v>
      </c>
      <c r="F213" s="494"/>
      <c r="G213" s="494"/>
      <c r="H213" s="494" t="s">
        <v>315</v>
      </c>
      <c r="I213" s="494" t="s">
        <v>957</v>
      </c>
      <c r="J213" s="563" t="s">
        <v>958</v>
      </c>
      <c r="K213" s="496">
        <f>L213</f>
        <v>14990</v>
      </c>
      <c r="L213" s="496">
        <v>14990</v>
      </c>
      <c r="M213" s="496"/>
      <c r="N213" s="496"/>
      <c r="O213" s="496"/>
      <c r="P213" s="496"/>
      <c r="Q213" s="496">
        <f t="shared" si="213"/>
        <v>0</v>
      </c>
      <c r="R213" s="496">
        <f t="shared" si="213"/>
        <v>0</v>
      </c>
      <c r="S213" s="496">
        <f>T213</f>
        <v>14990</v>
      </c>
      <c r="T213" s="496">
        <v>14990</v>
      </c>
      <c r="U213" s="496"/>
      <c r="V213" s="496"/>
      <c r="W213" s="496"/>
      <c r="X213" s="496"/>
      <c r="Y213" s="496"/>
      <c r="Z213" s="496"/>
      <c r="AA213" s="496"/>
      <c r="AB213" s="496">
        <v>213</v>
      </c>
      <c r="AC213" s="496">
        <v>213</v>
      </c>
      <c r="AD213" s="496"/>
      <c r="AE213" s="496"/>
      <c r="AF213" s="496"/>
      <c r="AG213" s="496"/>
      <c r="AH213" s="496">
        <f t="shared" si="218"/>
        <v>213</v>
      </c>
      <c r="AI213" s="496">
        <f t="shared" si="218"/>
        <v>213</v>
      </c>
      <c r="AJ213" s="496"/>
      <c r="AK213" s="496"/>
      <c r="AL213" s="496">
        <f>AM213</f>
        <v>3138</v>
      </c>
      <c r="AM213" s="496">
        <f>AP213</f>
        <v>3138</v>
      </c>
      <c r="AN213" s="496">
        <f t="shared" si="219"/>
        <v>0</v>
      </c>
      <c r="AO213" s="496">
        <f t="shared" si="219"/>
        <v>0</v>
      </c>
      <c r="AP213" s="496">
        <f t="shared" si="214"/>
        <v>3138</v>
      </c>
      <c r="AQ213" s="496">
        <v>3138</v>
      </c>
      <c r="AR213" s="496"/>
      <c r="AS213" s="496"/>
      <c r="AT213" s="563" t="s">
        <v>1068</v>
      </c>
      <c r="AU213" s="484">
        <f t="shared" si="193"/>
        <v>0</v>
      </c>
      <c r="AV213" s="484">
        <f t="shared" si="215"/>
        <v>0</v>
      </c>
      <c r="AW213" s="494">
        <f>AC213</f>
        <v>213</v>
      </c>
      <c r="AX213" s="548">
        <f>T213</f>
        <v>14990</v>
      </c>
      <c r="AY213" s="82">
        <f>T213-AX213</f>
        <v>0</v>
      </c>
      <c r="BE213" s="82">
        <v>1</v>
      </c>
      <c r="BF213" s="510">
        <f>AQ213</f>
        <v>3138</v>
      </c>
      <c r="BG213" s="488">
        <f t="shared" si="194"/>
        <v>0</v>
      </c>
    </row>
    <row r="214" spans="1:61" s="82" customFormat="1" ht="59.25" customHeight="1">
      <c r="A214" s="635">
        <v>6</v>
      </c>
      <c r="B214" s="644" t="s">
        <v>509</v>
      </c>
      <c r="C214" s="494" t="s">
        <v>486</v>
      </c>
      <c r="D214" s="494"/>
      <c r="E214" s="629" t="s">
        <v>994</v>
      </c>
      <c r="F214" s="494"/>
      <c r="G214" s="494"/>
      <c r="H214" s="494"/>
      <c r="I214" s="494" t="s">
        <v>957</v>
      </c>
      <c r="J214" s="563" t="s">
        <v>956</v>
      </c>
      <c r="K214" s="496">
        <f>L214</f>
        <v>6200</v>
      </c>
      <c r="L214" s="496">
        <v>6200</v>
      </c>
      <c r="M214" s="496"/>
      <c r="N214" s="496"/>
      <c r="O214" s="496"/>
      <c r="P214" s="496"/>
      <c r="Q214" s="496">
        <f t="shared" si="213"/>
        <v>0</v>
      </c>
      <c r="R214" s="496">
        <f t="shared" si="213"/>
        <v>0</v>
      </c>
      <c r="S214" s="496">
        <v>6200</v>
      </c>
      <c r="T214" s="496">
        <v>6200</v>
      </c>
      <c r="U214" s="496"/>
      <c r="V214" s="496"/>
      <c r="W214" s="496"/>
      <c r="X214" s="496"/>
      <c r="Y214" s="496"/>
      <c r="Z214" s="496"/>
      <c r="AA214" s="496"/>
      <c r="AB214" s="496">
        <v>93</v>
      </c>
      <c r="AC214" s="496">
        <v>93</v>
      </c>
      <c r="AD214" s="496"/>
      <c r="AE214" s="496"/>
      <c r="AF214" s="496"/>
      <c r="AG214" s="496"/>
      <c r="AH214" s="496">
        <f t="shared" si="218"/>
        <v>93</v>
      </c>
      <c r="AI214" s="496">
        <f t="shared" si="218"/>
        <v>93</v>
      </c>
      <c r="AJ214" s="496"/>
      <c r="AK214" s="496"/>
      <c r="AL214" s="496">
        <f t="shared" si="216"/>
        <v>2066.6666666666665</v>
      </c>
      <c r="AM214" s="496">
        <f t="shared" si="217"/>
        <v>2066.6666666666665</v>
      </c>
      <c r="AN214" s="496">
        <f t="shared" si="219"/>
        <v>0</v>
      </c>
      <c r="AO214" s="496">
        <f t="shared" si="219"/>
        <v>0</v>
      </c>
      <c r="AP214" s="496">
        <f t="shared" si="214"/>
        <v>2000</v>
      </c>
      <c r="AQ214" s="496">
        <v>2000</v>
      </c>
      <c r="AR214" s="496"/>
      <c r="AS214" s="496"/>
      <c r="AT214" s="563" t="s">
        <v>1068</v>
      </c>
      <c r="AU214" s="484">
        <f t="shared" si="193"/>
        <v>0</v>
      </c>
      <c r="AV214" s="484">
        <f t="shared" si="215"/>
        <v>0</v>
      </c>
      <c r="AW214" s="521"/>
      <c r="AX214" s="548"/>
      <c r="BG214" s="488">
        <f t="shared" si="194"/>
        <v>66.666666666666515</v>
      </c>
    </row>
    <row r="215" spans="1:61" s="80" customFormat="1" ht="59.25" customHeight="1">
      <c r="A215" s="556" t="s">
        <v>79</v>
      </c>
      <c r="B215" s="557" t="s">
        <v>169</v>
      </c>
      <c r="C215" s="615"/>
      <c r="D215" s="615"/>
      <c r="E215" s="615"/>
      <c r="F215" s="615"/>
      <c r="G215" s="615"/>
      <c r="H215" s="615"/>
      <c r="I215" s="615"/>
      <c r="J215" s="527"/>
      <c r="K215" s="602">
        <f>K216</f>
        <v>0</v>
      </c>
      <c r="L215" s="602">
        <f t="shared" ref="L215:AS215" si="220">L216</f>
        <v>0</v>
      </c>
      <c r="M215" s="602">
        <f t="shared" si="220"/>
        <v>0</v>
      </c>
      <c r="N215" s="602">
        <f t="shared" si="220"/>
        <v>0</v>
      </c>
      <c r="O215" s="602">
        <f t="shared" si="220"/>
        <v>0</v>
      </c>
      <c r="P215" s="602">
        <f t="shared" si="220"/>
        <v>0</v>
      </c>
      <c r="Q215" s="602">
        <f t="shared" si="220"/>
        <v>13</v>
      </c>
      <c r="R215" s="602">
        <f t="shared" si="220"/>
        <v>13</v>
      </c>
      <c r="S215" s="602">
        <f t="shared" si="220"/>
        <v>29000</v>
      </c>
      <c r="T215" s="602">
        <f t="shared" si="220"/>
        <v>29000</v>
      </c>
      <c r="U215" s="602">
        <f t="shared" si="220"/>
        <v>0</v>
      </c>
      <c r="V215" s="602">
        <f t="shared" si="220"/>
        <v>0</v>
      </c>
      <c r="W215" s="602"/>
      <c r="X215" s="602">
        <f t="shared" si="220"/>
        <v>13</v>
      </c>
      <c r="Y215" s="602">
        <f t="shared" si="220"/>
        <v>13</v>
      </c>
      <c r="Z215" s="602">
        <f t="shared" si="220"/>
        <v>0</v>
      </c>
      <c r="AA215" s="602">
        <f t="shared" si="220"/>
        <v>0</v>
      </c>
      <c r="AB215" s="602">
        <f t="shared" si="220"/>
        <v>0</v>
      </c>
      <c r="AC215" s="602">
        <f t="shared" si="220"/>
        <v>0</v>
      </c>
      <c r="AD215" s="602">
        <f t="shared" si="220"/>
        <v>0</v>
      </c>
      <c r="AE215" s="602">
        <f t="shared" si="220"/>
        <v>0</v>
      </c>
      <c r="AF215" s="602">
        <f t="shared" si="220"/>
        <v>0</v>
      </c>
      <c r="AG215" s="602">
        <f t="shared" si="220"/>
        <v>0</v>
      </c>
      <c r="AH215" s="602">
        <f t="shared" si="220"/>
        <v>13</v>
      </c>
      <c r="AI215" s="602">
        <f t="shared" si="220"/>
        <v>13</v>
      </c>
      <c r="AJ215" s="602"/>
      <c r="AK215" s="602"/>
      <c r="AL215" s="602">
        <f t="shared" si="220"/>
        <v>150</v>
      </c>
      <c r="AM215" s="602">
        <f t="shared" si="220"/>
        <v>150</v>
      </c>
      <c r="AN215" s="602">
        <f t="shared" si="220"/>
        <v>0</v>
      </c>
      <c r="AO215" s="602" t="e">
        <f t="shared" si="220"/>
        <v>#VALUE!</v>
      </c>
      <c r="AP215" s="602">
        <f t="shared" si="220"/>
        <v>150</v>
      </c>
      <c r="AQ215" s="602">
        <f t="shared" si="220"/>
        <v>150</v>
      </c>
      <c r="AR215" s="602">
        <f t="shared" si="220"/>
        <v>0</v>
      </c>
      <c r="AS215" s="602">
        <f t="shared" si="220"/>
        <v>0</v>
      </c>
      <c r="AT215" s="526"/>
      <c r="AU215" s="484">
        <f t="shared" si="193"/>
        <v>0</v>
      </c>
      <c r="AV215" s="501">
        <f t="shared" si="206"/>
        <v>0</v>
      </c>
      <c r="AW215" s="526"/>
      <c r="AX215" s="531"/>
      <c r="AZ215" s="532"/>
      <c r="BA215" s="532"/>
      <c r="BG215" s="488">
        <f t="shared" si="194"/>
        <v>0</v>
      </c>
    </row>
    <row r="216" spans="1:61" s="80" customFormat="1" ht="59.25" customHeight="1">
      <c r="A216" s="556" t="s">
        <v>35</v>
      </c>
      <c r="B216" s="557" t="s">
        <v>743</v>
      </c>
      <c r="C216" s="615"/>
      <c r="D216" s="615"/>
      <c r="E216" s="615"/>
      <c r="F216" s="615"/>
      <c r="G216" s="615"/>
      <c r="H216" s="615"/>
      <c r="I216" s="615"/>
      <c r="J216" s="527"/>
      <c r="K216" s="602">
        <f t="shared" ref="K216:R216" si="221">SUM(K217:K218)</f>
        <v>0</v>
      </c>
      <c r="L216" s="602">
        <f t="shared" si="221"/>
        <v>0</v>
      </c>
      <c r="M216" s="602">
        <f t="shared" si="221"/>
        <v>0</v>
      </c>
      <c r="N216" s="602">
        <f t="shared" si="221"/>
        <v>0</v>
      </c>
      <c r="O216" s="602">
        <f t="shared" si="221"/>
        <v>0</v>
      </c>
      <c r="P216" s="602">
        <f t="shared" si="221"/>
        <v>0</v>
      </c>
      <c r="Q216" s="602">
        <f t="shared" si="221"/>
        <v>13</v>
      </c>
      <c r="R216" s="602">
        <f t="shared" si="221"/>
        <v>13</v>
      </c>
      <c r="S216" s="602">
        <f t="shared" ref="S216:AR216" si="222">S217+S218+S219</f>
        <v>29000</v>
      </c>
      <c r="T216" s="602">
        <f t="shared" si="222"/>
        <v>29000</v>
      </c>
      <c r="U216" s="602">
        <f t="shared" si="222"/>
        <v>0</v>
      </c>
      <c r="V216" s="602">
        <f t="shared" si="222"/>
        <v>0</v>
      </c>
      <c r="W216" s="602">
        <f t="shared" si="222"/>
        <v>0</v>
      </c>
      <c r="X216" s="602">
        <f t="shared" si="222"/>
        <v>13</v>
      </c>
      <c r="Y216" s="602">
        <f t="shared" si="222"/>
        <v>13</v>
      </c>
      <c r="Z216" s="602">
        <f t="shared" si="222"/>
        <v>0</v>
      </c>
      <c r="AA216" s="602">
        <f t="shared" si="222"/>
        <v>0</v>
      </c>
      <c r="AB216" s="602">
        <f t="shared" si="222"/>
        <v>0</v>
      </c>
      <c r="AC216" s="602">
        <f t="shared" si="222"/>
        <v>0</v>
      </c>
      <c r="AD216" s="602">
        <f t="shared" si="222"/>
        <v>0</v>
      </c>
      <c r="AE216" s="602">
        <f t="shared" si="222"/>
        <v>0</v>
      </c>
      <c r="AF216" s="602">
        <f t="shared" si="222"/>
        <v>0</v>
      </c>
      <c r="AG216" s="602">
        <f t="shared" si="222"/>
        <v>0</v>
      </c>
      <c r="AH216" s="602">
        <f t="shared" si="222"/>
        <v>13</v>
      </c>
      <c r="AI216" s="602">
        <f t="shared" si="222"/>
        <v>13</v>
      </c>
      <c r="AJ216" s="602">
        <f t="shared" si="222"/>
        <v>0</v>
      </c>
      <c r="AK216" s="602">
        <f t="shared" si="222"/>
        <v>0</v>
      </c>
      <c r="AL216" s="602">
        <f t="shared" si="222"/>
        <v>150</v>
      </c>
      <c r="AM216" s="602">
        <f t="shared" si="222"/>
        <v>150</v>
      </c>
      <c r="AN216" s="602">
        <f t="shared" si="222"/>
        <v>0</v>
      </c>
      <c r="AO216" s="602" t="e">
        <f t="shared" si="222"/>
        <v>#VALUE!</v>
      </c>
      <c r="AP216" s="602">
        <f t="shared" si="222"/>
        <v>150</v>
      </c>
      <c r="AQ216" s="602">
        <f t="shared" si="222"/>
        <v>150</v>
      </c>
      <c r="AR216" s="602">
        <f t="shared" si="222"/>
        <v>0</v>
      </c>
      <c r="AS216" s="602"/>
      <c r="AT216" s="526"/>
      <c r="AU216" s="484">
        <f t="shared" si="193"/>
        <v>0</v>
      </c>
      <c r="AV216" s="501"/>
      <c r="AW216" s="526"/>
      <c r="AX216" s="531"/>
      <c r="AZ216" s="532"/>
      <c r="BA216" s="532"/>
      <c r="BG216" s="488">
        <f t="shared" si="194"/>
        <v>0</v>
      </c>
    </row>
    <row r="217" spans="1:61" s="510" customFormat="1" ht="59.25" customHeight="1">
      <c r="A217" s="635">
        <v>1</v>
      </c>
      <c r="B217" s="636" t="s">
        <v>505</v>
      </c>
      <c r="C217" s="494" t="s">
        <v>486</v>
      </c>
      <c r="D217" s="494"/>
      <c r="E217" s="629" t="s">
        <v>994</v>
      </c>
      <c r="F217" s="494"/>
      <c r="G217" s="494"/>
      <c r="H217" s="503"/>
      <c r="I217" s="503"/>
      <c r="J217" s="495" t="s">
        <v>315</v>
      </c>
      <c r="K217" s="496"/>
      <c r="L217" s="496"/>
      <c r="M217" s="496"/>
      <c r="N217" s="496"/>
      <c r="O217" s="496"/>
      <c r="P217" s="496"/>
      <c r="Q217" s="496">
        <f t="shared" ref="Q217" si="223">M217+X217</f>
        <v>13</v>
      </c>
      <c r="R217" s="496">
        <f t="shared" ref="R217" si="224">N217+Y217</f>
        <v>13</v>
      </c>
      <c r="S217" s="496">
        <v>8000</v>
      </c>
      <c r="T217" s="496">
        <v>8000</v>
      </c>
      <c r="U217" s="496"/>
      <c r="V217" s="496"/>
      <c r="W217" s="496"/>
      <c r="X217" s="496">
        <v>13</v>
      </c>
      <c r="Y217" s="496">
        <v>13</v>
      </c>
      <c r="Z217" s="496"/>
      <c r="AA217" s="496"/>
      <c r="AB217" s="496"/>
      <c r="AC217" s="496"/>
      <c r="AD217" s="496"/>
      <c r="AE217" s="496"/>
      <c r="AF217" s="496"/>
      <c r="AG217" s="496"/>
      <c r="AH217" s="496">
        <f t="shared" ref="AH217" si="225">X217+AB217</f>
        <v>13</v>
      </c>
      <c r="AI217" s="496">
        <f t="shared" ref="AI217" si="226">Y217+AC217</f>
        <v>13</v>
      </c>
      <c r="AJ217" s="496"/>
      <c r="AK217" s="496"/>
      <c r="AL217" s="496">
        <v>100</v>
      </c>
      <c r="AM217" s="496">
        <v>100</v>
      </c>
      <c r="AN217" s="496">
        <f t="shared" ref="AN217" si="227">AR217</f>
        <v>0</v>
      </c>
      <c r="AO217" s="496">
        <f t="shared" ref="AO217" si="228">AS217</f>
        <v>0</v>
      </c>
      <c r="AP217" s="496">
        <f>AQ217</f>
        <v>50</v>
      </c>
      <c r="AQ217" s="496">
        <v>50</v>
      </c>
      <c r="AR217" s="496"/>
      <c r="AS217" s="496"/>
      <c r="AT217" s="638" t="s">
        <v>744</v>
      </c>
      <c r="AU217" s="484">
        <f t="shared" si="193"/>
        <v>0</v>
      </c>
      <c r="AV217" s="484">
        <f t="shared" ref="AV217" si="229">V217-AA217</f>
        <v>0</v>
      </c>
      <c r="AW217" s="638"/>
      <c r="AX217" s="572"/>
      <c r="BG217" s="488">
        <f t="shared" si="194"/>
        <v>50</v>
      </c>
    </row>
    <row r="218" spans="1:61" s="81" customFormat="1" ht="59.25" customHeight="1">
      <c r="A218" s="635">
        <v>2</v>
      </c>
      <c r="B218" s="596" t="s">
        <v>512</v>
      </c>
      <c r="C218" s="494" t="s">
        <v>486</v>
      </c>
      <c r="D218" s="494"/>
      <c r="E218" s="629" t="s">
        <v>994</v>
      </c>
      <c r="F218" s="494"/>
      <c r="G218" s="494"/>
      <c r="H218" s="480"/>
      <c r="I218" s="480"/>
      <c r="J218" s="481"/>
      <c r="K218" s="496"/>
      <c r="L218" s="496"/>
      <c r="M218" s="496"/>
      <c r="N218" s="496"/>
      <c r="O218" s="496"/>
      <c r="P218" s="496"/>
      <c r="Q218" s="496">
        <f>M218+X218</f>
        <v>0</v>
      </c>
      <c r="R218" s="496">
        <f>N218+Y218</f>
        <v>0</v>
      </c>
      <c r="S218" s="496">
        <v>15000</v>
      </c>
      <c r="T218" s="496">
        <v>15000</v>
      </c>
      <c r="U218" s="496"/>
      <c r="V218" s="496"/>
      <c r="W218" s="496"/>
      <c r="X218" s="496"/>
      <c r="Y218" s="496"/>
      <c r="Z218" s="496"/>
      <c r="AA218" s="496"/>
      <c r="AB218" s="496"/>
      <c r="AC218" s="496"/>
      <c r="AD218" s="496"/>
      <c r="AE218" s="496"/>
      <c r="AF218" s="496"/>
      <c r="AG218" s="496"/>
      <c r="AH218" s="482">
        <f>X218+AB218</f>
        <v>0</v>
      </c>
      <c r="AI218" s="482">
        <f>Y218+AC218</f>
        <v>0</v>
      </c>
      <c r="AJ218" s="482"/>
      <c r="AK218" s="482"/>
      <c r="AL218" s="496">
        <f t="shared" ref="AL218:AO218" si="230">AP218</f>
        <v>50</v>
      </c>
      <c r="AM218" s="496">
        <f t="shared" si="230"/>
        <v>50</v>
      </c>
      <c r="AN218" s="482">
        <f t="shared" si="230"/>
        <v>0</v>
      </c>
      <c r="AO218" s="482" t="str">
        <f t="shared" si="230"/>
        <v xml:space="preserve"> </v>
      </c>
      <c r="AP218" s="496">
        <f>AQ218</f>
        <v>50</v>
      </c>
      <c r="AQ218" s="496">
        <v>50</v>
      </c>
      <c r="AR218" s="496"/>
      <c r="AS218" s="496" t="s">
        <v>315</v>
      </c>
      <c r="AT218" s="536"/>
      <c r="AU218" s="484">
        <f>AP218-AQ218</f>
        <v>0</v>
      </c>
      <c r="AV218" s="484">
        <f>V218-AA218</f>
        <v>0</v>
      </c>
      <c r="AW218" s="521"/>
      <c r="AX218" s="548">
        <f>T218</f>
        <v>15000</v>
      </c>
      <c r="AY218" s="82">
        <f>T218-AX218</f>
        <v>0</v>
      </c>
      <c r="BE218" s="81">
        <v>1</v>
      </c>
      <c r="BF218" s="82">
        <f>AQ218</f>
        <v>50</v>
      </c>
      <c r="BG218" s="488">
        <f t="shared" si="194"/>
        <v>0</v>
      </c>
    </row>
    <row r="219" spans="1:61" s="81" customFormat="1" ht="59.25" customHeight="1">
      <c r="A219" s="582">
        <v>3</v>
      </c>
      <c r="B219" s="596" t="s">
        <v>511</v>
      </c>
      <c r="C219" s="545"/>
      <c r="D219" s="545"/>
      <c r="E219" s="545"/>
      <c r="F219" s="545"/>
      <c r="G219" s="545"/>
      <c r="H219" s="480"/>
      <c r="I219" s="480"/>
      <c r="J219" s="481"/>
      <c r="K219" s="496"/>
      <c r="L219" s="496"/>
      <c r="M219" s="496"/>
      <c r="N219" s="496"/>
      <c r="O219" s="496"/>
      <c r="P219" s="496"/>
      <c r="Q219" s="496"/>
      <c r="R219" s="496"/>
      <c r="S219" s="496">
        <f>T219</f>
        <v>6000</v>
      </c>
      <c r="T219" s="496">
        <v>6000</v>
      </c>
      <c r="U219" s="496"/>
      <c r="V219" s="496"/>
      <c r="W219" s="496"/>
      <c r="X219" s="496"/>
      <c r="Y219" s="496"/>
      <c r="Z219" s="496"/>
      <c r="AA219" s="496"/>
      <c r="AB219" s="496"/>
      <c r="AC219" s="496"/>
      <c r="AD219" s="496"/>
      <c r="AE219" s="496"/>
      <c r="AF219" s="496"/>
      <c r="AG219" s="496"/>
      <c r="AH219" s="482"/>
      <c r="AI219" s="482"/>
      <c r="AJ219" s="482"/>
      <c r="AK219" s="482"/>
      <c r="AL219" s="482"/>
      <c r="AM219" s="482"/>
      <c r="AN219" s="482"/>
      <c r="AO219" s="482"/>
      <c r="AP219" s="496">
        <f>AQ219</f>
        <v>50</v>
      </c>
      <c r="AQ219" s="496">
        <v>50</v>
      </c>
      <c r="AR219" s="496"/>
      <c r="AS219" s="496"/>
      <c r="AT219" s="494"/>
      <c r="AU219" s="484"/>
      <c r="AV219" s="484"/>
      <c r="AW219" s="494"/>
      <c r="AX219" s="537"/>
      <c r="BF219" s="82">
        <f>AQ219</f>
        <v>50</v>
      </c>
      <c r="BG219" s="488"/>
    </row>
    <row r="220" spans="1:61" s="81" customFormat="1" ht="59.25" customHeight="1">
      <c r="A220" s="556"/>
      <c r="B220" s="479" t="s">
        <v>331</v>
      </c>
      <c r="C220" s="480"/>
      <c r="D220" s="480"/>
      <c r="E220" s="480"/>
      <c r="F220" s="480"/>
      <c r="G220" s="480"/>
      <c r="H220" s="480"/>
      <c r="I220" s="480"/>
      <c r="J220" s="481"/>
      <c r="K220" s="482"/>
      <c r="L220" s="482"/>
      <c r="M220" s="482"/>
      <c r="N220" s="482"/>
      <c r="O220" s="482"/>
      <c r="P220" s="482"/>
      <c r="Q220" s="496"/>
      <c r="R220" s="496"/>
      <c r="S220" s="482"/>
      <c r="T220" s="482"/>
      <c r="U220" s="482"/>
      <c r="V220" s="482"/>
      <c r="W220" s="482"/>
      <c r="X220" s="482"/>
      <c r="Y220" s="482"/>
      <c r="Z220" s="482"/>
      <c r="AA220" s="482"/>
      <c r="AB220" s="482"/>
      <c r="AC220" s="482">
        <v>26816</v>
      </c>
      <c r="AD220" s="482"/>
      <c r="AE220" s="482"/>
      <c r="AF220" s="482"/>
      <c r="AG220" s="482"/>
      <c r="AH220" s="482"/>
      <c r="AI220" s="482"/>
      <c r="AJ220" s="482"/>
      <c r="AK220" s="482"/>
      <c r="AL220" s="482"/>
      <c r="AM220" s="482"/>
      <c r="AN220" s="482"/>
      <c r="AO220" s="482"/>
      <c r="AP220" s="482"/>
      <c r="AQ220" s="482">
        <v>28115</v>
      </c>
      <c r="AR220" s="482"/>
      <c r="AS220" s="482"/>
      <c r="AT220" s="609">
        <f>AQ220-AQ221</f>
        <v>0</v>
      </c>
      <c r="AU220" s="484">
        <f t="shared" si="193"/>
        <v>-28115</v>
      </c>
      <c r="AV220" s="484">
        <f t="shared" si="206"/>
        <v>0</v>
      </c>
      <c r="AW220" s="576"/>
      <c r="AX220" s="537"/>
      <c r="BG220" s="488">
        <f t="shared" si="194"/>
        <v>-28115</v>
      </c>
    </row>
    <row r="221" spans="1:61" s="81" customFormat="1" ht="59.25" customHeight="1">
      <c r="A221" s="533" t="s">
        <v>185</v>
      </c>
      <c r="B221" s="534" t="s">
        <v>513</v>
      </c>
      <c r="C221" s="480"/>
      <c r="D221" s="480"/>
      <c r="E221" s="480"/>
      <c r="F221" s="480"/>
      <c r="G221" s="480"/>
      <c r="H221" s="540"/>
      <c r="I221" s="480"/>
      <c r="J221" s="481"/>
      <c r="K221" s="482">
        <f t="shared" ref="K221:AI221" si="231">K222+K226+K234+K237</f>
        <v>553446</v>
      </c>
      <c r="L221" s="482">
        <f t="shared" si="231"/>
        <v>125288</v>
      </c>
      <c r="M221" s="482">
        <f t="shared" si="231"/>
        <v>78018.456000000006</v>
      </c>
      <c r="N221" s="482">
        <f t="shared" si="231"/>
        <v>2000</v>
      </c>
      <c r="O221" s="482">
        <f t="shared" si="231"/>
        <v>78018.456000000006</v>
      </c>
      <c r="P221" s="482">
        <f t="shared" si="231"/>
        <v>2000</v>
      </c>
      <c r="Q221" s="482">
        <f t="shared" si="231"/>
        <v>90317.456000000006</v>
      </c>
      <c r="R221" s="482">
        <f t="shared" si="231"/>
        <v>14299</v>
      </c>
      <c r="S221" s="482">
        <f t="shared" si="231"/>
        <v>134905</v>
      </c>
      <c r="T221" s="482">
        <f t="shared" si="231"/>
        <v>134905</v>
      </c>
      <c r="U221" s="482">
        <f t="shared" si="231"/>
        <v>0</v>
      </c>
      <c r="V221" s="482">
        <f t="shared" si="231"/>
        <v>7282</v>
      </c>
      <c r="W221" s="482">
        <f t="shared" si="231"/>
        <v>416081</v>
      </c>
      <c r="X221" s="482">
        <f t="shared" si="231"/>
        <v>12299</v>
      </c>
      <c r="Y221" s="482">
        <f t="shared" si="231"/>
        <v>12299</v>
      </c>
      <c r="Z221" s="482">
        <f t="shared" si="231"/>
        <v>0</v>
      </c>
      <c r="AA221" s="482">
        <f t="shared" si="231"/>
        <v>6521</v>
      </c>
      <c r="AB221" s="482">
        <f t="shared" si="231"/>
        <v>25005</v>
      </c>
      <c r="AC221" s="482">
        <f t="shared" si="231"/>
        <v>25005</v>
      </c>
      <c r="AD221" s="482">
        <f t="shared" si="231"/>
        <v>0</v>
      </c>
      <c r="AE221" s="482">
        <f t="shared" si="231"/>
        <v>0</v>
      </c>
      <c r="AF221" s="482">
        <f t="shared" si="231"/>
        <v>3298.7860000000001</v>
      </c>
      <c r="AG221" s="482">
        <f t="shared" si="231"/>
        <v>8110.18</v>
      </c>
      <c r="AH221" s="482">
        <f t="shared" si="231"/>
        <v>39304</v>
      </c>
      <c r="AI221" s="482">
        <f t="shared" si="231"/>
        <v>39304</v>
      </c>
      <c r="AJ221" s="482"/>
      <c r="AK221" s="482"/>
      <c r="AL221" s="482">
        <f t="shared" ref="AL221:AS221" si="232">AL222+AL226+AL234+AL237</f>
        <v>26115</v>
      </c>
      <c r="AM221" s="482">
        <f t="shared" si="232"/>
        <v>26115</v>
      </c>
      <c r="AN221" s="482">
        <f t="shared" si="232"/>
        <v>0</v>
      </c>
      <c r="AO221" s="482">
        <f t="shared" si="232"/>
        <v>0</v>
      </c>
      <c r="AP221" s="482">
        <f t="shared" si="232"/>
        <v>28115</v>
      </c>
      <c r="AQ221" s="482">
        <f t="shared" si="232"/>
        <v>28115</v>
      </c>
      <c r="AR221" s="482">
        <f t="shared" si="232"/>
        <v>0</v>
      </c>
      <c r="AS221" s="482">
        <f t="shared" si="232"/>
        <v>0</v>
      </c>
      <c r="AT221" s="551"/>
      <c r="AU221" s="484">
        <f t="shared" si="193"/>
        <v>0</v>
      </c>
      <c r="AV221" s="484">
        <f t="shared" si="206"/>
        <v>761</v>
      </c>
      <c r="AW221" s="551"/>
      <c r="AX221" s="537"/>
      <c r="BB221" s="81">
        <f>X221-AT221</f>
        <v>12299</v>
      </c>
      <c r="BG221" s="488">
        <f t="shared" si="194"/>
        <v>-2000</v>
      </c>
    </row>
    <row r="222" spans="1:61" s="80" customFormat="1" ht="59.25" customHeight="1">
      <c r="A222" s="556" t="s">
        <v>33</v>
      </c>
      <c r="B222" s="557" t="s">
        <v>286</v>
      </c>
      <c r="C222" s="526"/>
      <c r="D222" s="526"/>
      <c r="E222" s="526"/>
      <c r="F222" s="526"/>
      <c r="G222" s="526"/>
      <c r="H222" s="526"/>
      <c r="I222" s="526"/>
      <c r="J222" s="527"/>
      <c r="K222" s="525">
        <f>K223</f>
        <v>477246</v>
      </c>
      <c r="L222" s="525">
        <f t="shared" ref="L222:AS222" si="233">L223</f>
        <v>49088</v>
      </c>
      <c r="M222" s="525">
        <f t="shared" si="233"/>
        <v>78018.456000000006</v>
      </c>
      <c r="N222" s="525">
        <f t="shared" si="233"/>
        <v>2000</v>
      </c>
      <c r="O222" s="525">
        <f t="shared" si="233"/>
        <v>78018.456000000006</v>
      </c>
      <c r="P222" s="525">
        <f t="shared" si="233"/>
        <v>2000</v>
      </c>
      <c r="Q222" s="525">
        <f t="shared" si="233"/>
        <v>89446.456000000006</v>
      </c>
      <c r="R222" s="525">
        <f t="shared" si="233"/>
        <v>13428</v>
      </c>
      <c r="S222" s="525">
        <f t="shared" si="233"/>
        <v>31305</v>
      </c>
      <c r="T222" s="525">
        <f t="shared" si="233"/>
        <v>31305</v>
      </c>
      <c r="U222" s="525">
        <f t="shared" si="233"/>
        <v>0</v>
      </c>
      <c r="V222" s="525">
        <f t="shared" si="233"/>
        <v>7282</v>
      </c>
      <c r="W222" s="525">
        <f t="shared" si="233"/>
        <v>394166</v>
      </c>
      <c r="X222" s="525">
        <f t="shared" si="233"/>
        <v>11428</v>
      </c>
      <c r="Y222" s="525">
        <f t="shared" si="233"/>
        <v>11428</v>
      </c>
      <c r="Z222" s="525">
        <f t="shared" si="233"/>
        <v>0</v>
      </c>
      <c r="AA222" s="525">
        <f t="shared" si="233"/>
        <v>6521</v>
      </c>
      <c r="AB222" s="525">
        <f t="shared" si="233"/>
        <v>3000</v>
      </c>
      <c r="AC222" s="525">
        <f t="shared" si="233"/>
        <v>3000</v>
      </c>
      <c r="AD222" s="525">
        <f t="shared" si="233"/>
        <v>0</v>
      </c>
      <c r="AE222" s="525">
        <f t="shared" si="233"/>
        <v>0</v>
      </c>
      <c r="AF222" s="525">
        <f t="shared" si="233"/>
        <v>3000</v>
      </c>
      <c r="AG222" s="525">
        <f t="shared" si="233"/>
        <v>3000</v>
      </c>
      <c r="AH222" s="525">
        <f t="shared" si="233"/>
        <v>16428</v>
      </c>
      <c r="AI222" s="525">
        <f t="shared" si="233"/>
        <v>16428</v>
      </c>
      <c r="AJ222" s="525"/>
      <c r="AK222" s="525"/>
      <c r="AL222" s="525">
        <f t="shared" si="233"/>
        <v>3000</v>
      </c>
      <c r="AM222" s="525">
        <f t="shared" si="233"/>
        <v>3000</v>
      </c>
      <c r="AN222" s="525">
        <f t="shared" si="233"/>
        <v>0</v>
      </c>
      <c r="AO222" s="525">
        <f t="shared" si="233"/>
        <v>0</v>
      </c>
      <c r="AP222" s="525">
        <f t="shared" si="233"/>
        <v>5000</v>
      </c>
      <c r="AQ222" s="525">
        <f t="shared" si="233"/>
        <v>5000</v>
      </c>
      <c r="AR222" s="525">
        <f t="shared" si="233"/>
        <v>0</v>
      </c>
      <c r="AS222" s="525">
        <f t="shared" si="233"/>
        <v>0</v>
      </c>
      <c r="AT222" s="603"/>
      <c r="AU222" s="501">
        <f t="shared" ref="AU222:AU266" si="234">AP222-AQ222</f>
        <v>0</v>
      </c>
      <c r="AV222" s="523"/>
      <c r="AW222" s="603"/>
      <c r="AX222" s="542"/>
      <c r="BG222" s="511">
        <f t="shared" si="194"/>
        <v>-2000</v>
      </c>
    </row>
    <row r="223" spans="1:61" s="81" customFormat="1" ht="59.25" customHeight="1">
      <c r="A223" s="556" t="s">
        <v>35</v>
      </c>
      <c r="B223" s="557" t="s">
        <v>43</v>
      </c>
      <c r="C223" s="480"/>
      <c r="D223" s="480"/>
      <c r="E223" s="480"/>
      <c r="F223" s="480"/>
      <c r="G223" s="480"/>
      <c r="H223" s="480"/>
      <c r="I223" s="480"/>
      <c r="J223" s="481"/>
      <c r="K223" s="482">
        <f>K224+K225</f>
        <v>477246</v>
      </c>
      <c r="L223" s="482">
        <f t="shared" ref="L223:AS223" si="235">L224+L225</f>
        <v>49088</v>
      </c>
      <c r="M223" s="482">
        <f t="shared" si="235"/>
        <v>78018.456000000006</v>
      </c>
      <c r="N223" s="482">
        <f t="shared" si="235"/>
        <v>2000</v>
      </c>
      <c r="O223" s="482">
        <f t="shared" si="235"/>
        <v>78018.456000000006</v>
      </c>
      <c r="P223" s="482">
        <f t="shared" si="235"/>
        <v>2000</v>
      </c>
      <c r="Q223" s="482">
        <f t="shared" si="235"/>
        <v>89446.456000000006</v>
      </c>
      <c r="R223" s="482">
        <f t="shared" si="235"/>
        <v>13428</v>
      </c>
      <c r="S223" s="482">
        <f t="shared" si="235"/>
        <v>31305</v>
      </c>
      <c r="T223" s="482">
        <f t="shared" si="235"/>
        <v>31305</v>
      </c>
      <c r="U223" s="482">
        <f t="shared" si="235"/>
        <v>0</v>
      </c>
      <c r="V223" s="482">
        <f t="shared" si="235"/>
        <v>7282</v>
      </c>
      <c r="W223" s="482">
        <f t="shared" ref="W223" si="236">W224+W225</f>
        <v>394166</v>
      </c>
      <c r="X223" s="482">
        <f t="shared" si="235"/>
        <v>11428</v>
      </c>
      <c r="Y223" s="482">
        <f t="shared" si="235"/>
        <v>11428</v>
      </c>
      <c r="Z223" s="482">
        <f t="shared" si="235"/>
        <v>0</v>
      </c>
      <c r="AA223" s="482">
        <f t="shared" si="235"/>
        <v>6521</v>
      </c>
      <c r="AB223" s="482">
        <f t="shared" si="235"/>
        <v>3000</v>
      </c>
      <c r="AC223" s="482">
        <f t="shared" si="235"/>
        <v>3000</v>
      </c>
      <c r="AD223" s="482">
        <f t="shared" si="235"/>
        <v>0</v>
      </c>
      <c r="AE223" s="482">
        <f t="shared" si="235"/>
        <v>0</v>
      </c>
      <c r="AF223" s="482">
        <f t="shared" si="235"/>
        <v>3000</v>
      </c>
      <c r="AG223" s="482">
        <f t="shared" si="235"/>
        <v>3000</v>
      </c>
      <c r="AH223" s="482">
        <f t="shared" si="235"/>
        <v>16428</v>
      </c>
      <c r="AI223" s="482">
        <f t="shared" si="235"/>
        <v>16428</v>
      </c>
      <c r="AJ223" s="482">
        <f t="shared" si="235"/>
        <v>0</v>
      </c>
      <c r="AK223" s="482">
        <f t="shared" si="235"/>
        <v>0</v>
      </c>
      <c r="AL223" s="482">
        <f t="shared" si="235"/>
        <v>3000</v>
      </c>
      <c r="AM223" s="482">
        <f t="shared" si="235"/>
        <v>3000</v>
      </c>
      <c r="AN223" s="482">
        <f t="shared" si="235"/>
        <v>0</v>
      </c>
      <c r="AO223" s="482">
        <f t="shared" si="235"/>
        <v>0</v>
      </c>
      <c r="AP223" s="482">
        <f t="shared" si="235"/>
        <v>5000</v>
      </c>
      <c r="AQ223" s="482">
        <f>AQ224+AQ225</f>
        <v>5000</v>
      </c>
      <c r="AR223" s="482">
        <f t="shared" si="235"/>
        <v>0</v>
      </c>
      <c r="AS223" s="482">
        <f t="shared" si="235"/>
        <v>0</v>
      </c>
      <c r="AT223" s="551"/>
      <c r="AU223" s="484">
        <f t="shared" si="234"/>
        <v>0</v>
      </c>
      <c r="AV223" s="489"/>
      <c r="AW223" s="551"/>
      <c r="AX223" s="537"/>
      <c r="BG223" s="488">
        <f t="shared" si="194"/>
        <v>-2000</v>
      </c>
    </row>
    <row r="224" spans="1:61" s="82" customFormat="1" ht="59.25" customHeight="1">
      <c r="A224" s="582">
        <v>1</v>
      </c>
      <c r="B224" s="583" t="s">
        <v>515</v>
      </c>
      <c r="C224" s="494" t="s">
        <v>514</v>
      </c>
      <c r="D224" s="494"/>
      <c r="E224" s="629" t="s">
        <v>995</v>
      </c>
      <c r="F224" s="494"/>
      <c r="G224" s="494"/>
      <c r="H224" s="494"/>
      <c r="I224" s="494"/>
      <c r="J224" s="495" t="s">
        <v>516</v>
      </c>
      <c r="K224" s="496">
        <v>104700</v>
      </c>
      <c r="L224" s="496">
        <v>28682</v>
      </c>
      <c r="M224" s="496">
        <v>78018.456000000006</v>
      </c>
      <c r="N224" s="496">
        <v>2000</v>
      </c>
      <c r="O224" s="496">
        <v>78018.456000000006</v>
      </c>
      <c r="P224" s="496">
        <v>2000</v>
      </c>
      <c r="Q224" s="496">
        <f>M224+X224</f>
        <v>89446.456000000006</v>
      </c>
      <c r="R224" s="496">
        <f>N224+Y224</f>
        <v>13428</v>
      </c>
      <c r="S224" s="496">
        <f>T224</f>
        <v>21805</v>
      </c>
      <c r="T224" s="496">
        <v>21805</v>
      </c>
      <c r="U224" s="496">
        <v>0</v>
      </c>
      <c r="V224" s="496">
        <v>7282</v>
      </c>
      <c r="W224" s="496">
        <f>78018+11428+3000</f>
        <v>92446</v>
      </c>
      <c r="X224" s="496">
        <f>12428-1000</f>
        <v>11428</v>
      </c>
      <c r="Y224" s="496">
        <f>X224</f>
        <v>11428</v>
      </c>
      <c r="Z224" s="496"/>
      <c r="AA224" s="496">
        <v>6521</v>
      </c>
      <c r="AB224" s="496">
        <v>3000</v>
      </c>
      <c r="AC224" s="496">
        <v>3000</v>
      </c>
      <c r="AD224" s="496"/>
      <c r="AE224" s="496"/>
      <c r="AF224" s="547">
        <v>3000</v>
      </c>
      <c r="AG224" s="547">
        <v>3000</v>
      </c>
      <c r="AH224" s="496">
        <f t="shared" ref="AH224:AH253" si="237">X224+AB224</f>
        <v>14428</v>
      </c>
      <c r="AI224" s="496">
        <f t="shared" ref="AI224:AI248" si="238">Y224+AC224</f>
        <v>14428</v>
      </c>
      <c r="AJ224" s="496"/>
      <c r="AK224" s="496"/>
      <c r="AL224" s="496">
        <f t="shared" ref="AL224:AL274" si="239">AP224</f>
        <v>3000</v>
      </c>
      <c r="AM224" s="496">
        <f t="shared" ref="AM224:AM274" si="240">AQ224</f>
        <v>3000</v>
      </c>
      <c r="AN224" s="496">
        <f t="shared" ref="AN224:AN274" si="241">AR224</f>
        <v>0</v>
      </c>
      <c r="AO224" s="496">
        <f t="shared" ref="AO224:AO274" si="242">AS224</f>
        <v>0</v>
      </c>
      <c r="AP224" s="496">
        <f>AQ224</f>
        <v>3000</v>
      </c>
      <c r="AQ224" s="496">
        <v>3000</v>
      </c>
      <c r="AR224" s="496"/>
      <c r="AS224" s="496"/>
      <c r="AT224" s="536"/>
      <c r="AU224" s="484">
        <f t="shared" si="234"/>
        <v>0</v>
      </c>
      <c r="AV224" s="484">
        <f t="shared" si="206"/>
        <v>761</v>
      </c>
      <c r="AW224" s="536"/>
      <c r="AX224" s="548"/>
      <c r="BG224" s="488">
        <f t="shared" si="194"/>
        <v>0</v>
      </c>
      <c r="BI224" s="82">
        <f>AT224-AQ224</f>
        <v>-3000</v>
      </c>
    </row>
    <row r="225" spans="1:63" s="82" customFormat="1" ht="86.25" customHeight="1">
      <c r="A225" s="559" t="s">
        <v>39</v>
      </c>
      <c r="B225" s="645" t="s">
        <v>975</v>
      </c>
      <c r="C225" s="494" t="s">
        <v>315</v>
      </c>
      <c r="D225" s="494"/>
      <c r="E225" s="494" t="s">
        <v>996</v>
      </c>
      <c r="F225" s="494"/>
      <c r="G225" s="494"/>
      <c r="H225" s="494"/>
      <c r="I225" s="494"/>
      <c r="J225" s="646" t="s">
        <v>976</v>
      </c>
      <c r="K225" s="621">
        <v>372546</v>
      </c>
      <c r="L225" s="621">
        <v>20406</v>
      </c>
      <c r="M225" s="496"/>
      <c r="N225" s="496"/>
      <c r="O225" s="496"/>
      <c r="P225" s="496"/>
      <c r="Q225" s="496"/>
      <c r="R225" s="496"/>
      <c r="S225" s="496">
        <f>T225</f>
        <v>9500</v>
      </c>
      <c r="T225" s="496">
        <v>9500</v>
      </c>
      <c r="U225" s="496"/>
      <c r="V225" s="496"/>
      <c r="W225" s="496">
        <f>299720+2000</f>
        <v>301720</v>
      </c>
      <c r="X225" s="496"/>
      <c r="Y225" s="496"/>
      <c r="Z225" s="496"/>
      <c r="AA225" s="496"/>
      <c r="AB225" s="496"/>
      <c r="AC225" s="496"/>
      <c r="AD225" s="496"/>
      <c r="AE225" s="496"/>
      <c r="AF225" s="496"/>
      <c r="AG225" s="496"/>
      <c r="AH225" s="496">
        <f>AI225</f>
        <v>2000</v>
      </c>
      <c r="AI225" s="496">
        <v>2000</v>
      </c>
      <c r="AJ225" s="496"/>
      <c r="AK225" s="496"/>
      <c r="AL225" s="496"/>
      <c r="AM225" s="496"/>
      <c r="AN225" s="496"/>
      <c r="AO225" s="496"/>
      <c r="AP225" s="496">
        <f>AQ225</f>
        <v>2000</v>
      </c>
      <c r="AQ225" s="496">
        <v>2000</v>
      </c>
      <c r="AR225" s="496"/>
      <c r="AS225" s="496"/>
      <c r="AT225" s="536"/>
      <c r="AU225" s="484">
        <f t="shared" si="234"/>
        <v>0</v>
      </c>
      <c r="AV225" s="484">
        <f t="shared" si="206"/>
        <v>0</v>
      </c>
      <c r="AW225" s="521"/>
      <c r="AX225" s="548"/>
      <c r="BG225" s="488">
        <f t="shared" si="194"/>
        <v>-2000</v>
      </c>
      <c r="BI225" s="82">
        <f>AT225-AQ225</f>
        <v>-2000</v>
      </c>
    </row>
    <row r="226" spans="1:63" s="80" customFormat="1" ht="59.25" customHeight="1">
      <c r="A226" s="556" t="s">
        <v>46</v>
      </c>
      <c r="B226" s="557" t="s">
        <v>288</v>
      </c>
      <c r="C226" s="526"/>
      <c r="D226" s="526"/>
      <c r="E226" s="526"/>
      <c r="F226" s="526"/>
      <c r="G226" s="526"/>
      <c r="H226" s="526"/>
      <c r="I226" s="526"/>
      <c r="J226" s="527"/>
      <c r="K226" s="525">
        <f>K227</f>
        <v>69300</v>
      </c>
      <c r="L226" s="525">
        <f t="shared" ref="L226:AS226" si="243">L227</f>
        <v>69300</v>
      </c>
      <c r="M226" s="525">
        <f t="shared" si="243"/>
        <v>0</v>
      </c>
      <c r="N226" s="525">
        <f t="shared" si="243"/>
        <v>0</v>
      </c>
      <c r="O226" s="525">
        <f t="shared" si="243"/>
        <v>0</v>
      </c>
      <c r="P226" s="525">
        <f t="shared" si="243"/>
        <v>0</v>
      </c>
      <c r="Q226" s="525">
        <f t="shared" si="243"/>
        <v>871</v>
      </c>
      <c r="R226" s="525">
        <f t="shared" si="243"/>
        <v>871</v>
      </c>
      <c r="S226" s="525">
        <f t="shared" si="243"/>
        <v>65200</v>
      </c>
      <c r="T226" s="525">
        <f t="shared" si="243"/>
        <v>65200</v>
      </c>
      <c r="U226" s="525">
        <f t="shared" si="243"/>
        <v>0</v>
      </c>
      <c r="V226" s="525">
        <f t="shared" si="243"/>
        <v>0</v>
      </c>
      <c r="W226" s="525">
        <f t="shared" si="243"/>
        <v>21915</v>
      </c>
      <c r="X226" s="525">
        <f t="shared" si="243"/>
        <v>871</v>
      </c>
      <c r="Y226" s="525">
        <f t="shared" si="243"/>
        <v>871</v>
      </c>
      <c r="Z226" s="525">
        <f t="shared" si="243"/>
        <v>0</v>
      </c>
      <c r="AA226" s="525">
        <f t="shared" si="243"/>
        <v>0</v>
      </c>
      <c r="AB226" s="525">
        <f t="shared" si="243"/>
        <v>21915</v>
      </c>
      <c r="AC226" s="525">
        <f t="shared" si="243"/>
        <v>21915</v>
      </c>
      <c r="AD226" s="525">
        <f t="shared" si="243"/>
        <v>0</v>
      </c>
      <c r="AE226" s="525">
        <f t="shared" si="243"/>
        <v>0</v>
      </c>
      <c r="AF226" s="525">
        <f t="shared" si="243"/>
        <v>298.786</v>
      </c>
      <c r="AG226" s="525">
        <f t="shared" si="243"/>
        <v>5110.18</v>
      </c>
      <c r="AH226" s="525">
        <f t="shared" si="243"/>
        <v>22786</v>
      </c>
      <c r="AI226" s="525">
        <f t="shared" si="243"/>
        <v>22786</v>
      </c>
      <c r="AJ226" s="525"/>
      <c r="AK226" s="525"/>
      <c r="AL226" s="525">
        <f t="shared" si="243"/>
        <v>20465</v>
      </c>
      <c r="AM226" s="525">
        <f t="shared" si="243"/>
        <v>20465</v>
      </c>
      <c r="AN226" s="525">
        <f t="shared" si="243"/>
        <v>0</v>
      </c>
      <c r="AO226" s="525">
        <f t="shared" si="243"/>
        <v>0</v>
      </c>
      <c r="AP226" s="525">
        <f t="shared" si="243"/>
        <v>20465</v>
      </c>
      <c r="AQ226" s="525">
        <f t="shared" si="243"/>
        <v>20465</v>
      </c>
      <c r="AR226" s="525">
        <f t="shared" si="243"/>
        <v>0</v>
      </c>
      <c r="AS226" s="525">
        <f t="shared" si="243"/>
        <v>0</v>
      </c>
      <c r="AT226" s="526"/>
      <c r="AU226" s="501">
        <f t="shared" si="234"/>
        <v>0</v>
      </c>
      <c r="AV226" s="501"/>
      <c r="AW226" s="541"/>
      <c r="AX226" s="542"/>
      <c r="BG226" s="511">
        <f t="shared" ref="BG226:BG277" si="244">AL226-AQ226</f>
        <v>0</v>
      </c>
    </row>
    <row r="227" spans="1:63" s="81" customFormat="1" ht="59.25" customHeight="1">
      <c r="A227" s="478" t="s">
        <v>35</v>
      </c>
      <c r="B227" s="539" t="s">
        <v>45</v>
      </c>
      <c r="C227" s="480"/>
      <c r="D227" s="480"/>
      <c r="E227" s="480"/>
      <c r="F227" s="480"/>
      <c r="G227" s="480"/>
      <c r="H227" s="480"/>
      <c r="I227" s="480"/>
      <c r="J227" s="481"/>
      <c r="K227" s="482">
        <f>SUM(K228:K233)</f>
        <v>69300</v>
      </c>
      <c r="L227" s="482">
        <f t="shared" ref="L227:AS227" si="245">SUM(L228:L233)</f>
        <v>69300</v>
      </c>
      <c r="M227" s="482">
        <f t="shared" si="245"/>
        <v>0</v>
      </c>
      <c r="N227" s="482">
        <f t="shared" si="245"/>
        <v>0</v>
      </c>
      <c r="O227" s="482">
        <f t="shared" si="245"/>
        <v>0</v>
      </c>
      <c r="P227" s="482">
        <f t="shared" si="245"/>
        <v>0</v>
      </c>
      <c r="Q227" s="482">
        <f t="shared" si="245"/>
        <v>871</v>
      </c>
      <c r="R227" s="482">
        <f t="shared" si="245"/>
        <v>871</v>
      </c>
      <c r="S227" s="482">
        <f t="shared" si="245"/>
        <v>65200</v>
      </c>
      <c r="T227" s="482">
        <f t="shared" si="245"/>
        <v>65200</v>
      </c>
      <c r="U227" s="482">
        <f t="shared" si="245"/>
        <v>0</v>
      </c>
      <c r="V227" s="482">
        <f t="shared" si="245"/>
        <v>0</v>
      </c>
      <c r="W227" s="482">
        <f t="shared" ref="W227" si="246">SUM(W228:W233)</f>
        <v>21915</v>
      </c>
      <c r="X227" s="482">
        <f t="shared" si="245"/>
        <v>871</v>
      </c>
      <c r="Y227" s="482">
        <f t="shared" si="245"/>
        <v>871</v>
      </c>
      <c r="Z227" s="482">
        <f t="shared" si="245"/>
        <v>0</v>
      </c>
      <c r="AA227" s="482">
        <f t="shared" si="245"/>
        <v>0</v>
      </c>
      <c r="AB227" s="482">
        <f t="shared" si="245"/>
        <v>21915</v>
      </c>
      <c r="AC227" s="482">
        <f t="shared" si="245"/>
        <v>21915</v>
      </c>
      <c r="AD227" s="482">
        <f t="shared" si="245"/>
        <v>0</v>
      </c>
      <c r="AE227" s="482">
        <f t="shared" si="245"/>
        <v>0</v>
      </c>
      <c r="AF227" s="482">
        <f t="shared" si="245"/>
        <v>298.786</v>
      </c>
      <c r="AG227" s="482">
        <f t="shared" si="245"/>
        <v>5110.18</v>
      </c>
      <c r="AH227" s="482">
        <f t="shared" si="245"/>
        <v>22786</v>
      </c>
      <c r="AI227" s="482">
        <f t="shared" si="245"/>
        <v>22786</v>
      </c>
      <c r="AJ227" s="482"/>
      <c r="AK227" s="482"/>
      <c r="AL227" s="482">
        <f t="shared" si="245"/>
        <v>20465</v>
      </c>
      <c r="AM227" s="482">
        <f t="shared" si="245"/>
        <v>20465</v>
      </c>
      <c r="AN227" s="482">
        <f t="shared" si="245"/>
        <v>0</v>
      </c>
      <c r="AO227" s="482">
        <f t="shared" si="245"/>
        <v>0</v>
      </c>
      <c r="AP227" s="482">
        <f>SUM(AP228:AP233)</f>
        <v>20465</v>
      </c>
      <c r="AQ227" s="482">
        <f t="shared" si="245"/>
        <v>20465</v>
      </c>
      <c r="AR227" s="482">
        <f t="shared" si="245"/>
        <v>0</v>
      </c>
      <c r="AS227" s="482">
        <f t="shared" si="245"/>
        <v>0</v>
      </c>
      <c r="AT227" s="480"/>
      <c r="AU227" s="484">
        <f t="shared" si="234"/>
        <v>0</v>
      </c>
      <c r="AV227" s="484"/>
      <c r="AW227" s="576"/>
      <c r="AX227" s="537"/>
      <c r="BG227" s="488">
        <f t="shared" si="244"/>
        <v>0</v>
      </c>
    </row>
    <row r="228" spans="1:63" s="510" customFormat="1" ht="59.25" customHeight="1">
      <c r="A228" s="582">
        <v>1</v>
      </c>
      <c r="B228" s="552" t="s">
        <v>771</v>
      </c>
      <c r="C228" s="494" t="s">
        <v>514</v>
      </c>
      <c r="D228" s="494"/>
      <c r="E228" s="629" t="s">
        <v>995</v>
      </c>
      <c r="F228" s="494"/>
      <c r="G228" s="494"/>
      <c r="H228" s="503"/>
      <c r="I228" s="494" t="s">
        <v>627</v>
      </c>
      <c r="J228" s="495" t="s">
        <v>517</v>
      </c>
      <c r="K228" s="520">
        <v>7800</v>
      </c>
      <c r="L228" s="520">
        <v>7800</v>
      </c>
      <c r="M228" s="496"/>
      <c r="N228" s="496"/>
      <c r="O228" s="496"/>
      <c r="P228" s="496"/>
      <c r="Q228" s="496">
        <f t="shared" ref="Q228:R233" si="247">M228+X228</f>
        <v>104</v>
      </c>
      <c r="R228" s="496">
        <f t="shared" si="247"/>
        <v>104</v>
      </c>
      <c r="S228" s="496">
        <f>T228</f>
        <v>7800</v>
      </c>
      <c r="T228" s="496">
        <v>7800</v>
      </c>
      <c r="U228" s="496"/>
      <c r="V228" s="496"/>
      <c r="W228" s="496">
        <v>2500</v>
      </c>
      <c r="X228" s="496">
        <v>104</v>
      </c>
      <c r="Y228" s="496">
        <v>104</v>
      </c>
      <c r="Z228" s="496"/>
      <c r="AA228" s="496"/>
      <c r="AB228" s="496">
        <v>2500</v>
      </c>
      <c r="AC228" s="496">
        <v>2500</v>
      </c>
      <c r="AD228" s="496"/>
      <c r="AE228" s="496"/>
      <c r="AF228" s="547">
        <v>298.786</v>
      </c>
      <c r="AG228" s="547">
        <v>2335.944</v>
      </c>
      <c r="AH228" s="496">
        <f t="shared" si="237"/>
        <v>2604</v>
      </c>
      <c r="AI228" s="496">
        <f t="shared" si="238"/>
        <v>2604</v>
      </c>
      <c r="AJ228" s="496"/>
      <c r="AK228" s="496"/>
      <c r="AL228" s="496">
        <f t="shared" si="239"/>
        <v>4300</v>
      </c>
      <c r="AM228" s="496">
        <f t="shared" si="240"/>
        <v>4300</v>
      </c>
      <c r="AN228" s="496">
        <f t="shared" si="241"/>
        <v>0</v>
      </c>
      <c r="AO228" s="496">
        <f t="shared" si="242"/>
        <v>0</v>
      </c>
      <c r="AP228" s="496">
        <f t="shared" ref="AP228:AP233" si="248">AQ228</f>
        <v>4300</v>
      </c>
      <c r="AQ228" s="496">
        <v>4300</v>
      </c>
      <c r="AR228" s="496"/>
      <c r="AS228" s="496"/>
      <c r="AT228" s="494"/>
      <c r="AU228" s="484">
        <f t="shared" si="234"/>
        <v>0</v>
      </c>
      <c r="AV228" s="484">
        <f t="shared" si="206"/>
        <v>0</v>
      </c>
      <c r="AW228" s="562"/>
      <c r="AX228" s="572"/>
      <c r="BG228" s="488">
        <f t="shared" si="244"/>
        <v>0</v>
      </c>
      <c r="BJ228" s="510">
        <f>BI225+BI224+BJ229+BK229</f>
        <v>-8773</v>
      </c>
    </row>
    <row r="229" spans="1:63" s="510" customFormat="1" ht="59.25" customHeight="1">
      <c r="A229" s="582">
        <v>2</v>
      </c>
      <c r="B229" s="552" t="s">
        <v>518</v>
      </c>
      <c r="C229" s="494" t="s">
        <v>514</v>
      </c>
      <c r="D229" s="494"/>
      <c r="E229" s="629" t="s">
        <v>995</v>
      </c>
      <c r="F229" s="494"/>
      <c r="G229" s="494"/>
      <c r="H229" s="503"/>
      <c r="I229" s="494" t="s">
        <v>948</v>
      </c>
      <c r="J229" s="563" t="s">
        <v>519</v>
      </c>
      <c r="K229" s="496">
        <v>21000</v>
      </c>
      <c r="L229" s="496">
        <v>21000</v>
      </c>
      <c r="M229" s="496"/>
      <c r="N229" s="496"/>
      <c r="O229" s="496"/>
      <c r="P229" s="496"/>
      <c r="Q229" s="496">
        <f t="shared" si="247"/>
        <v>208</v>
      </c>
      <c r="R229" s="496">
        <f t="shared" si="247"/>
        <v>208</v>
      </c>
      <c r="S229" s="496">
        <v>18900</v>
      </c>
      <c r="T229" s="496">
        <v>18900</v>
      </c>
      <c r="U229" s="496"/>
      <c r="V229" s="496"/>
      <c r="W229" s="496">
        <v>6300</v>
      </c>
      <c r="X229" s="496">
        <v>208</v>
      </c>
      <c r="Y229" s="496">
        <v>208</v>
      </c>
      <c r="Z229" s="496"/>
      <c r="AA229" s="496"/>
      <c r="AB229" s="496">
        <v>6300</v>
      </c>
      <c r="AC229" s="496">
        <v>6300</v>
      </c>
      <c r="AD229" s="496"/>
      <c r="AE229" s="496"/>
      <c r="AF229" s="496"/>
      <c r="AG229" s="496"/>
      <c r="AH229" s="496">
        <f t="shared" si="237"/>
        <v>6508</v>
      </c>
      <c r="AI229" s="496">
        <f t="shared" si="238"/>
        <v>6508</v>
      </c>
      <c r="AJ229" s="496"/>
      <c r="AK229" s="496"/>
      <c r="AL229" s="496">
        <f t="shared" ref="AL229" si="249">AP229</f>
        <v>4600</v>
      </c>
      <c r="AM229" s="496">
        <f t="shared" ref="AM229" si="250">AQ229</f>
        <v>4600</v>
      </c>
      <c r="AN229" s="496">
        <f t="shared" si="241"/>
        <v>0</v>
      </c>
      <c r="AO229" s="496">
        <f t="shared" si="242"/>
        <v>0</v>
      </c>
      <c r="AP229" s="496">
        <f t="shared" si="248"/>
        <v>4600</v>
      </c>
      <c r="AQ229" s="496">
        <v>4600</v>
      </c>
      <c r="AR229" s="496"/>
      <c r="AS229" s="496"/>
      <c r="AT229" s="494"/>
      <c r="AU229" s="484">
        <f t="shared" si="234"/>
        <v>0</v>
      </c>
      <c r="AV229" s="484">
        <f t="shared" si="206"/>
        <v>0</v>
      </c>
      <c r="AW229" s="582"/>
      <c r="AX229" s="572"/>
      <c r="BG229" s="488">
        <f t="shared" si="244"/>
        <v>0</v>
      </c>
      <c r="BJ229" s="510">
        <f>SUM(BJ230:BJ233)</f>
        <v>-11565</v>
      </c>
      <c r="BK229" s="510">
        <f>T229-AI229-AQ229</f>
        <v>7792</v>
      </c>
    </row>
    <row r="230" spans="1:63" s="510" customFormat="1" ht="59.25" customHeight="1">
      <c r="A230" s="484">
        <v>3</v>
      </c>
      <c r="B230" s="644" t="s">
        <v>520</v>
      </c>
      <c r="C230" s="494" t="s">
        <v>514</v>
      </c>
      <c r="D230" s="494"/>
      <c r="E230" s="629" t="s">
        <v>995</v>
      </c>
      <c r="F230" s="494"/>
      <c r="G230" s="494"/>
      <c r="H230" s="503"/>
      <c r="I230" s="494" t="s">
        <v>948</v>
      </c>
      <c r="J230" s="563" t="s">
        <v>521</v>
      </c>
      <c r="K230" s="496">
        <v>20000</v>
      </c>
      <c r="L230" s="496">
        <v>20000</v>
      </c>
      <c r="M230" s="496"/>
      <c r="N230" s="496"/>
      <c r="O230" s="496"/>
      <c r="P230" s="496"/>
      <c r="Q230" s="496">
        <f t="shared" si="247"/>
        <v>247</v>
      </c>
      <c r="R230" s="496">
        <f t="shared" si="247"/>
        <v>247</v>
      </c>
      <c r="S230" s="496">
        <v>18000</v>
      </c>
      <c r="T230" s="496">
        <v>18000</v>
      </c>
      <c r="U230" s="496" t="s">
        <v>315</v>
      </c>
      <c r="V230" s="496"/>
      <c r="W230" s="496">
        <v>6000</v>
      </c>
      <c r="X230" s="496">
        <v>247</v>
      </c>
      <c r="Y230" s="496">
        <v>247</v>
      </c>
      <c r="Z230" s="496"/>
      <c r="AA230" s="496"/>
      <c r="AB230" s="496">
        <v>6000</v>
      </c>
      <c r="AC230" s="496">
        <v>6000</v>
      </c>
      <c r="AD230" s="496"/>
      <c r="AE230" s="496"/>
      <c r="AF230" s="496"/>
      <c r="AG230" s="496"/>
      <c r="AH230" s="496">
        <f t="shared" si="237"/>
        <v>6247</v>
      </c>
      <c r="AI230" s="496">
        <f t="shared" si="238"/>
        <v>6247</v>
      </c>
      <c r="AJ230" s="496"/>
      <c r="AK230" s="496"/>
      <c r="AL230" s="496">
        <f t="shared" si="239"/>
        <v>4000</v>
      </c>
      <c r="AM230" s="496">
        <f t="shared" si="240"/>
        <v>4000</v>
      </c>
      <c r="AN230" s="496">
        <f t="shared" si="241"/>
        <v>0</v>
      </c>
      <c r="AO230" s="496">
        <f t="shared" si="242"/>
        <v>0</v>
      </c>
      <c r="AP230" s="496">
        <f t="shared" si="248"/>
        <v>4000</v>
      </c>
      <c r="AQ230" s="496">
        <v>4000</v>
      </c>
      <c r="AR230" s="496"/>
      <c r="AS230" s="496"/>
      <c r="AT230" s="494"/>
      <c r="AU230" s="484">
        <f t="shared" si="234"/>
        <v>0</v>
      </c>
      <c r="AV230" s="484">
        <f t="shared" si="206"/>
        <v>0</v>
      </c>
      <c r="AW230" s="562"/>
      <c r="AX230" s="572"/>
      <c r="BG230" s="488">
        <f t="shared" si="244"/>
        <v>0</v>
      </c>
      <c r="BJ230" s="510">
        <f>AT230-AQ230</f>
        <v>-4000</v>
      </c>
    </row>
    <row r="231" spans="1:63" s="510" customFormat="1" ht="59.25" customHeight="1">
      <c r="A231" s="484">
        <v>4</v>
      </c>
      <c r="B231" s="644" t="s">
        <v>522</v>
      </c>
      <c r="C231" s="494" t="s">
        <v>514</v>
      </c>
      <c r="D231" s="494"/>
      <c r="E231" s="629" t="s">
        <v>995</v>
      </c>
      <c r="F231" s="494"/>
      <c r="G231" s="494"/>
      <c r="H231" s="503"/>
      <c r="I231" s="494" t="s">
        <v>627</v>
      </c>
      <c r="J231" s="563" t="s">
        <v>523</v>
      </c>
      <c r="K231" s="496">
        <v>5000</v>
      </c>
      <c r="L231" s="496">
        <v>5000</v>
      </c>
      <c r="M231" s="496"/>
      <c r="N231" s="496"/>
      <c r="O231" s="496"/>
      <c r="P231" s="496"/>
      <c r="Q231" s="496">
        <f t="shared" si="247"/>
        <v>65</v>
      </c>
      <c r="R231" s="496">
        <f t="shared" si="247"/>
        <v>65</v>
      </c>
      <c r="S231" s="496">
        <f>T231</f>
        <v>5000</v>
      </c>
      <c r="T231" s="496">
        <v>5000</v>
      </c>
      <c r="U231" s="496"/>
      <c r="V231" s="496"/>
      <c r="W231" s="496">
        <v>1500</v>
      </c>
      <c r="X231" s="496">
        <v>65</v>
      </c>
      <c r="Y231" s="496">
        <v>65</v>
      </c>
      <c r="Z231" s="496"/>
      <c r="AA231" s="496"/>
      <c r="AB231" s="496">
        <v>1500</v>
      </c>
      <c r="AC231" s="496">
        <v>1500</v>
      </c>
      <c r="AD231" s="496"/>
      <c r="AE231" s="496"/>
      <c r="AF231" s="496"/>
      <c r="AG231" s="496"/>
      <c r="AH231" s="496">
        <f t="shared" si="237"/>
        <v>1565</v>
      </c>
      <c r="AI231" s="496">
        <f t="shared" si="238"/>
        <v>1565</v>
      </c>
      <c r="AJ231" s="496"/>
      <c r="AK231" s="496"/>
      <c r="AL231" s="496">
        <f t="shared" ref="AL231" si="251">AP231</f>
        <v>1400</v>
      </c>
      <c r="AM231" s="496">
        <f t="shared" ref="AM231" si="252">AQ231</f>
        <v>1400</v>
      </c>
      <c r="AN231" s="496">
        <f t="shared" si="241"/>
        <v>0</v>
      </c>
      <c r="AO231" s="496">
        <f t="shared" si="242"/>
        <v>0</v>
      </c>
      <c r="AP231" s="496">
        <f t="shared" si="248"/>
        <v>1400</v>
      </c>
      <c r="AQ231" s="496">
        <v>1400</v>
      </c>
      <c r="AR231" s="496"/>
      <c r="AS231" s="496"/>
      <c r="AT231" s="494"/>
      <c r="AU231" s="484">
        <f t="shared" si="234"/>
        <v>0</v>
      </c>
      <c r="AV231" s="484">
        <f t="shared" si="206"/>
        <v>0</v>
      </c>
      <c r="AW231" s="536">
        <f>AC231</f>
        <v>1500</v>
      </c>
      <c r="AX231" s="548">
        <f>T231</f>
        <v>5000</v>
      </c>
      <c r="AY231" s="82">
        <f>T231-AX231</f>
        <v>0</v>
      </c>
      <c r="BD231" s="510">
        <v>1</v>
      </c>
      <c r="BE231" s="510">
        <v>1</v>
      </c>
      <c r="BF231" s="510">
        <f>AQ231</f>
        <v>1400</v>
      </c>
      <c r="BG231" s="488">
        <f t="shared" si="244"/>
        <v>0</v>
      </c>
      <c r="BJ231" s="510">
        <f t="shared" ref="BJ231:BJ233" si="253">AT231-AQ231</f>
        <v>-1400</v>
      </c>
    </row>
    <row r="232" spans="1:63" s="510" customFormat="1" ht="59.25" customHeight="1">
      <c r="A232" s="582">
        <v>5</v>
      </c>
      <c r="B232" s="552" t="s">
        <v>524</v>
      </c>
      <c r="C232" s="494" t="s">
        <v>514</v>
      </c>
      <c r="D232" s="494"/>
      <c r="E232" s="629" t="s">
        <v>995</v>
      </c>
      <c r="F232" s="494"/>
      <c r="G232" s="494"/>
      <c r="H232" s="503"/>
      <c r="I232" s="494" t="s">
        <v>948</v>
      </c>
      <c r="J232" s="495" t="s">
        <v>525</v>
      </c>
      <c r="K232" s="496">
        <v>11500</v>
      </c>
      <c r="L232" s="496">
        <v>11500</v>
      </c>
      <c r="M232" s="496"/>
      <c r="N232" s="496"/>
      <c r="O232" s="496"/>
      <c r="P232" s="496"/>
      <c r="Q232" s="496">
        <f t="shared" si="247"/>
        <v>156</v>
      </c>
      <c r="R232" s="496">
        <f t="shared" si="247"/>
        <v>156</v>
      </c>
      <c r="S232" s="496">
        <f>T232</f>
        <v>11500</v>
      </c>
      <c r="T232" s="496">
        <v>11500</v>
      </c>
      <c r="U232" s="496"/>
      <c r="V232" s="496"/>
      <c r="W232" s="496">
        <v>3615</v>
      </c>
      <c r="X232" s="496">
        <v>156</v>
      </c>
      <c r="Y232" s="496">
        <v>156</v>
      </c>
      <c r="Z232" s="496"/>
      <c r="AA232" s="496"/>
      <c r="AB232" s="520">
        <v>3615</v>
      </c>
      <c r="AC232" s="496">
        <v>3615</v>
      </c>
      <c r="AD232" s="496"/>
      <c r="AE232" s="496"/>
      <c r="AF232" s="547">
        <v>0</v>
      </c>
      <c r="AG232" s="547">
        <v>2774.2359999999999</v>
      </c>
      <c r="AH232" s="496">
        <f t="shared" si="237"/>
        <v>3771</v>
      </c>
      <c r="AI232" s="496">
        <f t="shared" si="238"/>
        <v>3771</v>
      </c>
      <c r="AJ232" s="496"/>
      <c r="AK232" s="496"/>
      <c r="AL232" s="496">
        <f t="shared" si="239"/>
        <v>4865</v>
      </c>
      <c r="AM232" s="496">
        <f t="shared" si="240"/>
        <v>4865</v>
      </c>
      <c r="AN232" s="496">
        <f t="shared" si="241"/>
        <v>0</v>
      </c>
      <c r="AO232" s="496">
        <f t="shared" si="242"/>
        <v>0</v>
      </c>
      <c r="AP232" s="496">
        <f t="shared" si="248"/>
        <v>4865</v>
      </c>
      <c r="AQ232" s="496">
        <v>4865</v>
      </c>
      <c r="AR232" s="496"/>
      <c r="AS232" s="496"/>
      <c r="AT232" s="494"/>
      <c r="AU232" s="484">
        <f t="shared" si="234"/>
        <v>0</v>
      </c>
      <c r="AV232" s="484">
        <f t="shared" si="206"/>
        <v>0</v>
      </c>
      <c r="AW232" s="536">
        <f>AC232</f>
        <v>3615</v>
      </c>
      <c r="AX232" s="548">
        <f>T232</f>
        <v>11500</v>
      </c>
      <c r="AY232" s="82">
        <f>T232-AX232</f>
        <v>0</v>
      </c>
      <c r="BD232" s="510">
        <v>1</v>
      </c>
      <c r="BE232" s="510">
        <v>1</v>
      </c>
      <c r="BF232" s="510">
        <f>AQ232</f>
        <v>4865</v>
      </c>
      <c r="BG232" s="488">
        <f t="shared" si="244"/>
        <v>0</v>
      </c>
      <c r="BJ232" s="510">
        <f t="shared" si="253"/>
        <v>-4865</v>
      </c>
    </row>
    <row r="233" spans="1:63" s="510" customFormat="1" ht="59.25" customHeight="1">
      <c r="A233" s="484">
        <v>6</v>
      </c>
      <c r="B233" s="552" t="s">
        <v>526</v>
      </c>
      <c r="C233" s="494" t="s">
        <v>514</v>
      </c>
      <c r="D233" s="494"/>
      <c r="E233" s="629" t="s">
        <v>995</v>
      </c>
      <c r="F233" s="494"/>
      <c r="G233" s="494"/>
      <c r="H233" s="503"/>
      <c r="I233" s="494" t="s">
        <v>627</v>
      </c>
      <c r="J233" s="563" t="s">
        <v>527</v>
      </c>
      <c r="K233" s="496">
        <f>L233</f>
        <v>4000</v>
      </c>
      <c r="L233" s="496">
        <v>4000</v>
      </c>
      <c r="M233" s="496"/>
      <c r="N233" s="496"/>
      <c r="O233" s="496"/>
      <c r="P233" s="496"/>
      <c r="Q233" s="496">
        <f t="shared" si="247"/>
        <v>91</v>
      </c>
      <c r="R233" s="496">
        <f t="shared" si="247"/>
        <v>91</v>
      </c>
      <c r="S233" s="496">
        <f>T233</f>
        <v>4000</v>
      </c>
      <c r="T233" s="496">
        <v>4000</v>
      </c>
      <c r="U233" s="496"/>
      <c r="V233" s="496"/>
      <c r="W233" s="496">
        <v>2000</v>
      </c>
      <c r="X233" s="496">
        <v>91</v>
      </c>
      <c r="Y233" s="496">
        <v>91</v>
      </c>
      <c r="Z233" s="496"/>
      <c r="AA233" s="496"/>
      <c r="AB233" s="496">
        <v>2000</v>
      </c>
      <c r="AC233" s="496">
        <v>2000</v>
      </c>
      <c r="AD233" s="496"/>
      <c r="AE233" s="496"/>
      <c r="AF233" s="496"/>
      <c r="AG233" s="496"/>
      <c r="AH233" s="496">
        <f t="shared" si="237"/>
        <v>2091</v>
      </c>
      <c r="AI233" s="496">
        <f t="shared" si="238"/>
        <v>2091</v>
      </c>
      <c r="AJ233" s="496"/>
      <c r="AK233" s="496"/>
      <c r="AL233" s="496">
        <f t="shared" si="239"/>
        <v>1300</v>
      </c>
      <c r="AM233" s="496">
        <f t="shared" si="240"/>
        <v>1300</v>
      </c>
      <c r="AN233" s="496">
        <f t="shared" si="241"/>
        <v>0</v>
      </c>
      <c r="AO233" s="496">
        <f t="shared" si="242"/>
        <v>0</v>
      </c>
      <c r="AP233" s="496">
        <f t="shared" si="248"/>
        <v>1300</v>
      </c>
      <c r="AQ233" s="496">
        <v>1300</v>
      </c>
      <c r="AR233" s="496"/>
      <c r="AS233" s="496"/>
      <c r="AT233" s="494"/>
      <c r="AU233" s="484">
        <f t="shared" si="234"/>
        <v>0</v>
      </c>
      <c r="AV233" s="484">
        <f t="shared" si="206"/>
        <v>0</v>
      </c>
      <c r="AW233" s="536">
        <f>AC233</f>
        <v>2000</v>
      </c>
      <c r="AX233" s="548">
        <f>T233</f>
        <v>4000</v>
      </c>
      <c r="AY233" s="82">
        <f>T233-AX233</f>
        <v>0</v>
      </c>
      <c r="BD233" s="510">
        <v>1</v>
      </c>
      <c r="BE233" s="510">
        <v>1</v>
      </c>
      <c r="BF233" s="510">
        <f>AQ233</f>
        <v>1300</v>
      </c>
      <c r="BG233" s="488">
        <f t="shared" si="244"/>
        <v>0</v>
      </c>
      <c r="BJ233" s="510">
        <f t="shared" si="253"/>
        <v>-1300</v>
      </c>
    </row>
    <row r="234" spans="1:63" s="80" customFormat="1" ht="59.25" customHeight="1">
      <c r="A234" s="478" t="s">
        <v>280</v>
      </c>
      <c r="B234" s="539" t="s">
        <v>289</v>
      </c>
      <c r="C234" s="480"/>
      <c r="D234" s="480"/>
      <c r="E234" s="480"/>
      <c r="F234" s="480"/>
      <c r="G234" s="480"/>
      <c r="H234" s="526"/>
      <c r="I234" s="526"/>
      <c r="J234" s="558"/>
      <c r="K234" s="482">
        <f>K235</f>
        <v>6900</v>
      </c>
      <c r="L234" s="482">
        <f t="shared" ref="L234:AR235" si="254">L235</f>
        <v>6900</v>
      </c>
      <c r="M234" s="482">
        <f t="shared" si="254"/>
        <v>0</v>
      </c>
      <c r="N234" s="482">
        <f t="shared" si="254"/>
        <v>0</v>
      </c>
      <c r="O234" s="482">
        <f t="shared" si="254"/>
        <v>0</v>
      </c>
      <c r="P234" s="482">
        <f t="shared" si="254"/>
        <v>0</v>
      </c>
      <c r="Q234" s="482">
        <f t="shared" si="254"/>
        <v>0</v>
      </c>
      <c r="R234" s="482">
        <f t="shared" si="254"/>
        <v>0</v>
      </c>
      <c r="S234" s="482">
        <f t="shared" si="254"/>
        <v>6900</v>
      </c>
      <c r="T234" s="482">
        <f t="shared" si="254"/>
        <v>6900</v>
      </c>
      <c r="U234" s="482">
        <f t="shared" si="254"/>
        <v>0</v>
      </c>
      <c r="V234" s="482">
        <f t="shared" si="254"/>
        <v>0</v>
      </c>
      <c r="W234" s="482">
        <f t="shared" si="254"/>
        <v>0</v>
      </c>
      <c r="X234" s="482">
        <f t="shared" si="254"/>
        <v>0</v>
      </c>
      <c r="Y234" s="482">
        <f t="shared" si="254"/>
        <v>0</v>
      </c>
      <c r="Z234" s="482">
        <f t="shared" si="254"/>
        <v>0</v>
      </c>
      <c r="AA234" s="482">
        <f t="shared" si="254"/>
        <v>0</v>
      </c>
      <c r="AB234" s="482">
        <f t="shared" si="254"/>
        <v>90</v>
      </c>
      <c r="AC234" s="482">
        <f t="shared" si="254"/>
        <v>90</v>
      </c>
      <c r="AD234" s="482">
        <f t="shared" si="254"/>
        <v>0</v>
      </c>
      <c r="AE234" s="482">
        <f t="shared" si="254"/>
        <v>0</v>
      </c>
      <c r="AF234" s="482">
        <f t="shared" si="254"/>
        <v>0</v>
      </c>
      <c r="AG234" s="482">
        <f t="shared" si="254"/>
        <v>0</v>
      </c>
      <c r="AH234" s="482">
        <f t="shared" si="254"/>
        <v>90</v>
      </c>
      <c r="AI234" s="482">
        <f t="shared" si="254"/>
        <v>90</v>
      </c>
      <c r="AJ234" s="482"/>
      <c r="AK234" s="482"/>
      <c r="AL234" s="482">
        <f t="shared" si="254"/>
        <v>2500</v>
      </c>
      <c r="AM234" s="482">
        <f t="shared" si="254"/>
        <v>2500</v>
      </c>
      <c r="AN234" s="482">
        <f t="shared" si="254"/>
        <v>0</v>
      </c>
      <c r="AO234" s="482">
        <f t="shared" si="254"/>
        <v>0</v>
      </c>
      <c r="AP234" s="482">
        <f t="shared" si="254"/>
        <v>2500</v>
      </c>
      <c r="AQ234" s="482">
        <f t="shared" si="254"/>
        <v>2500</v>
      </c>
      <c r="AR234" s="482">
        <f t="shared" si="254"/>
        <v>0</v>
      </c>
      <c r="AS234" s="482"/>
      <c r="AT234" s="480"/>
      <c r="AU234" s="489"/>
      <c r="AV234" s="489"/>
      <c r="AW234" s="551"/>
      <c r="AX234" s="537"/>
      <c r="AY234" s="81"/>
      <c r="BG234" s="488">
        <f t="shared" si="244"/>
        <v>0</v>
      </c>
    </row>
    <row r="235" spans="1:63" s="80" customFormat="1" ht="59.25" customHeight="1">
      <c r="A235" s="556" t="s">
        <v>35</v>
      </c>
      <c r="B235" s="557" t="s">
        <v>45</v>
      </c>
      <c r="C235" s="480"/>
      <c r="D235" s="480"/>
      <c r="E235" s="480"/>
      <c r="F235" s="480"/>
      <c r="G235" s="480"/>
      <c r="H235" s="526"/>
      <c r="I235" s="526"/>
      <c r="J235" s="558"/>
      <c r="K235" s="482">
        <f>K236</f>
        <v>6900</v>
      </c>
      <c r="L235" s="482">
        <f t="shared" si="254"/>
        <v>6900</v>
      </c>
      <c r="M235" s="482">
        <f t="shared" si="254"/>
        <v>0</v>
      </c>
      <c r="N235" s="482">
        <f t="shared" si="254"/>
        <v>0</v>
      </c>
      <c r="O235" s="482">
        <f t="shared" si="254"/>
        <v>0</v>
      </c>
      <c r="P235" s="482">
        <f t="shared" si="254"/>
        <v>0</v>
      </c>
      <c r="Q235" s="482">
        <f t="shared" si="254"/>
        <v>0</v>
      </c>
      <c r="R235" s="482">
        <f t="shared" si="254"/>
        <v>0</v>
      </c>
      <c r="S235" s="482">
        <f t="shared" si="254"/>
        <v>6900</v>
      </c>
      <c r="T235" s="482">
        <f t="shared" si="254"/>
        <v>6900</v>
      </c>
      <c r="U235" s="482">
        <f t="shared" si="254"/>
        <v>0</v>
      </c>
      <c r="V235" s="482">
        <f t="shared" si="254"/>
        <v>0</v>
      </c>
      <c r="W235" s="482">
        <f t="shared" si="254"/>
        <v>0</v>
      </c>
      <c r="X235" s="482">
        <f t="shared" si="254"/>
        <v>0</v>
      </c>
      <c r="Y235" s="482">
        <f t="shared" si="254"/>
        <v>0</v>
      </c>
      <c r="Z235" s="482">
        <f t="shared" si="254"/>
        <v>0</v>
      </c>
      <c r="AA235" s="482">
        <f t="shared" si="254"/>
        <v>0</v>
      </c>
      <c r="AB235" s="482">
        <f t="shared" si="254"/>
        <v>90</v>
      </c>
      <c r="AC235" s="482">
        <f t="shared" si="254"/>
        <v>90</v>
      </c>
      <c r="AD235" s="482">
        <f t="shared" si="254"/>
        <v>0</v>
      </c>
      <c r="AE235" s="482">
        <f t="shared" si="254"/>
        <v>0</v>
      </c>
      <c r="AF235" s="482">
        <f t="shared" si="254"/>
        <v>0</v>
      </c>
      <c r="AG235" s="482">
        <f t="shared" si="254"/>
        <v>0</v>
      </c>
      <c r="AH235" s="482">
        <f t="shared" si="254"/>
        <v>90</v>
      </c>
      <c r="AI235" s="482">
        <f t="shared" si="254"/>
        <v>90</v>
      </c>
      <c r="AJ235" s="482">
        <f t="shared" si="254"/>
        <v>0</v>
      </c>
      <c r="AK235" s="482">
        <f t="shared" si="254"/>
        <v>0</v>
      </c>
      <c r="AL235" s="482">
        <f t="shared" si="254"/>
        <v>2500</v>
      </c>
      <c r="AM235" s="482">
        <f t="shared" si="254"/>
        <v>2500</v>
      </c>
      <c r="AN235" s="482">
        <f t="shared" si="254"/>
        <v>0</v>
      </c>
      <c r="AO235" s="482">
        <f t="shared" si="254"/>
        <v>0</v>
      </c>
      <c r="AP235" s="482">
        <f t="shared" si="254"/>
        <v>2500</v>
      </c>
      <c r="AQ235" s="482">
        <f t="shared" si="254"/>
        <v>2500</v>
      </c>
      <c r="AR235" s="482">
        <f t="shared" si="254"/>
        <v>0</v>
      </c>
      <c r="AS235" s="482">
        <f t="shared" ref="AS235" si="255">AS236</f>
        <v>0</v>
      </c>
      <c r="AT235" s="480" t="s">
        <v>315</v>
      </c>
      <c r="AU235" s="489"/>
      <c r="AV235" s="489"/>
      <c r="AW235" s="551"/>
      <c r="AX235" s="537"/>
      <c r="AY235" s="81"/>
      <c r="BG235" s="488">
        <f t="shared" si="244"/>
        <v>0</v>
      </c>
    </row>
    <row r="236" spans="1:63" s="82" customFormat="1" ht="59.25" customHeight="1">
      <c r="A236" s="582">
        <v>1</v>
      </c>
      <c r="B236" s="552" t="s">
        <v>768</v>
      </c>
      <c r="C236" s="494" t="s">
        <v>514</v>
      </c>
      <c r="D236" s="494"/>
      <c r="E236" s="629" t="s">
        <v>995</v>
      </c>
      <c r="F236" s="494"/>
      <c r="G236" s="494"/>
      <c r="H236" s="494"/>
      <c r="I236" s="494" t="s">
        <v>296</v>
      </c>
      <c r="J236" s="495" t="s">
        <v>769</v>
      </c>
      <c r="K236" s="496">
        <v>6900</v>
      </c>
      <c r="L236" s="496">
        <v>6900</v>
      </c>
      <c r="M236" s="496"/>
      <c r="N236" s="496"/>
      <c r="O236" s="496"/>
      <c r="P236" s="496"/>
      <c r="Q236" s="496">
        <f>M236+X236</f>
        <v>0</v>
      </c>
      <c r="R236" s="496">
        <f>N236+Y236</f>
        <v>0</v>
      </c>
      <c r="S236" s="496">
        <f>T236</f>
        <v>6900</v>
      </c>
      <c r="T236" s="496">
        <v>6900</v>
      </c>
      <c r="U236" s="496"/>
      <c r="V236" s="496"/>
      <c r="W236" s="496"/>
      <c r="X236" s="496"/>
      <c r="Y236" s="496"/>
      <c r="Z236" s="496"/>
      <c r="AA236" s="496"/>
      <c r="AB236" s="496">
        <v>90</v>
      </c>
      <c r="AC236" s="496">
        <v>90</v>
      </c>
      <c r="AD236" s="496"/>
      <c r="AE236" s="496"/>
      <c r="AF236" s="496"/>
      <c r="AG236" s="496"/>
      <c r="AH236" s="496">
        <f t="shared" ref="AH236:AI236" si="256">X236+AB236</f>
        <v>90</v>
      </c>
      <c r="AI236" s="496">
        <f t="shared" si="256"/>
        <v>90</v>
      </c>
      <c r="AJ236" s="496"/>
      <c r="AK236" s="496"/>
      <c r="AL236" s="496">
        <f t="shared" ref="AL236:AO236" si="257">AP236</f>
        <v>2500</v>
      </c>
      <c r="AM236" s="496">
        <f t="shared" si="257"/>
        <v>2500</v>
      </c>
      <c r="AN236" s="496">
        <f t="shared" si="257"/>
        <v>0</v>
      </c>
      <c r="AO236" s="496">
        <f t="shared" si="257"/>
        <v>0</v>
      </c>
      <c r="AP236" s="496">
        <f>AQ236</f>
        <v>2500</v>
      </c>
      <c r="AQ236" s="496">
        <v>2500</v>
      </c>
      <c r="AR236" s="496"/>
      <c r="AS236" s="496"/>
      <c r="AT236" s="494" t="s">
        <v>1068</v>
      </c>
      <c r="AU236" s="484">
        <f>AP236-AQ236</f>
        <v>0</v>
      </c>
      <c r="AV236" s="484">
        <f>V236-AA236</f>
        <v>0</v>
      </c>
      <c r="AW236" s="536">
        <f>AC236</f>
        <v>90</v>
      </c>
      <c r="AX236" s="548">
        <f>T236</f>
        <v>6900</v>
      </c>
      <c r="AY236" s="82">
        <f>T236-AX236</f>
        <v>0</v>
      </c>
      <c r="BE236" s="82">
        <v>1</v>
      </c>
      <c r="BF236" s="82">
        <f>AQ236</f>
        <v>2500</v>
      </c>
      <c r="BG236" s="488">
        <f t="shared" si="244"/>
        <v>0</v>
      </c>
      <c r="BI236" s="82">
        <f>T236-AQ236</f>
        <v>4400</v>
      </c>
      <c r="BJ236" s="82">
        <f>BI236/2</f>
        <v>2200</v>
      </c>
    </row>
    <row r="237" spans="1:63" s="81" customFormat="1" ht="59.25" customHeight="1">
      <c r="A237" s="538" t="s">
        <v>757</v>
      </c>
      <c r="B237" s="539" t="s">
        <v>169</v>
      </c>
      <c r="C237" s="647"/>
      <c r="D237" s="647"/>
      <c r="E237" s="647"/>
      <c r="F237" s="647"/>
      <c r="G237" s="647"/>
      <c r="H237" s="647"/>
      <c r="I237" s="647"/>
      <c r="J237" s="481"/>
      <c r="K237" s="519">
        <f>K238</f>
        <v>0</v>
      </c>
      <c r="L237" s="519">
        <f t="shared" ref="L237:AS237" si="258">L238</f>
        <v>0</v>
      </c>
      <c r="M237" s="519">
        <f t="shared" si="258"/>
        <v>0</v>
      </c>
      <c r="N237" s="519">
        <f t="shared" si="258"/>
        <v>0</v>
      </c>
      <c r="O237" s="519">
        <f t="shared" si="258"/>
        <v>0</v>
      </c>
      <c r="P237" s="519">
        <f t="shared" si="258"/>
        <v>0</v>
      </c>
      <c r="Q237" s="519">
        <f t="shared" si="258"/>
        <v>0</v>
      </c>
      <c r="R237" s="519">
        <f t="shared" si="258"/>
        <v>0</v>
      </c>
      <c r="S237" s="519">
        <f t="shared" si="258"/>
        <v>31500</v>
      </c>
      <c r="T237" s="519">
        <f t="shared" si="258"/>
        <v>31500</v>
      </c>
      <c r="U237" s="519">
        <f t="shared" si="258"/>
        <v>0</v>
      </c>
      <c r="V237" s="519">
        <f t="shared" si="258"/>
        <v>0</v>
      </c>
      <c r="W237" s="519"/>
      <c r="X237" s="519">
        <f t="shared" si="258"/>
        <v>0</v>
      </c>
      <c r="Y237" s="519">
        <f t="shared" si="258"/>
        <v>0</v>
      </c>
      <c r="Z237" s="519">
        <f t="shared" si="258"/>
        <v>0</v>
      </c>
      <c r="AA237" s="519">
        <f t="shared" si="258"/>
        <v>0</v>
      </c>
      <c r="AB237" s="519">
        <f t="shared" si="258"/>
        <v>0</v>
      </c>
      <c r="AC237" s="519">
        <f t="shared" si="258"/>
        <v>0</v>
      </c>
      <c r="AD237" s="519">
        <f t="shared" si="258"/>
        <v>0</v>
      </c>
      <c r="AE237" s="519">
        <f t="shared" si="258"/>
        <v>0</v>
      </c>
      <c r="AF237" s="519">
        <f t="shared" si="258"/>
        <v>0</v>
      </c>
      <c r="AG237" s="519">
        <f t="shared" si="258"/>
        <v>0</v>
      </c>
      <c r="AH237" s="519">
        <f t="shared" si="258"/>
        <v>0</v>
      </c>
      <c r="AI237" s="519">
        <f t="shared" si="258"/>
        <v>0</v>
      </c>
      <c r="AJ237" s="519"/>
      <c r="AK237" s="519"/>
      <c r="AL237" s="519">
        <f t="shared" si="258"/>
        <v>150</v>
      </c>
      <c r="AM237" s="519">
        <f t="shared" si="258"/>
        <v>150</v>
      </c>
      <c r="AN237" s="519">
        <f t="shared" si="258"/>
        <v>0</v>
      </c>
      <c r="AO237" s="519">
        <f t="shared" si="258"/>
        <v>0</v>
      </c>
      <c r="AP237" s="519">
        <f t="shared" si="258"/>
        <v>150</v>
      </c>
      <c r="AQ237" s="519">
        <f t="shared" si="258"/>
        <v>150</v>
      </c>
      <c r="AR237" s="519">
        <f t="shared" si="258"/>
        <v>0</v>
      </c>
      <c r="AS237" s="519">
        <f t="shared" si="258"/>
        <v>0</v>
      </c>
      <c r="AT237" s="480"/>
      <c r="AU237" s="484">
        <f t="shared" si="234"/>
        <v>0</v>
      </c>
      <c r="AV237" s="484">
        <f t="shared" ref="AV237:AV289" si="259">V237-AA237</f>
        <v>0</v>
      </c>
      <c r="AW237" s="480"/>
      <c r="AX237" s="486"/>
      <c r="AZ237" s="487"/>
      <c r="BA237" s="487"/>
      <c r="BG237" s="488">
        <f t="shared" si="244"/>
        <v>0</v>
      </c>
    </row>
    <row r="238" spans="1:63" s="81" customFormat="1" ht="59.25" customHeight="1">
      <c r="A238" s="556" t="s">
        <v>35</v>
      </c>
      <c r="B238" s="557" t="s">
        <v>45</v>
      </c>
      <c r="C238" s="647"/>
      <c r="D238" s="647"/>
      <c r="E238" s="647"/>
      <c r="F238" s="647"/>
      <c r="G238" s="647"/>
      <c r="H238" s="647"/>
      <c r="I238" s="647"/>
      <c r="J238" s="481"/>
      <c r="K238" s="519">
        <f t="shared" ref="K238:R238" si="260">SUM(K241:K242)</f>
        <v>0</v>
      </c>
      <c r="L238" s="519">
        <f t="shared" si="260"/>
        <v>0</v>
      </c>
      <c r="M238" s="519">
        <f t="shared" si="260"/>
        <v>0</v>
      </c>
      <c r="N238" s="519">
        <f t="shared" si="260"/>
        <v>0</v>
      </c>
      <c r="O238" s="519">
        <f t="shared" si="260"/>
        <v>0</v>
      </c>
      <c r="P238" s="519">
        <f t="shared" si="260"/>
        <v>0</v>
      </c>
      <c r="Q238" s="519">
        <f t="shared" si="260"/>
        <v>0</v>
      </c>
      <c r="R238" s="519">
        <f t="shared" si="260"/>
        <v>0</v>
      </c>
      <c r="S238" s="519">
        <f>SUM(S239:S242)</f>
        <v>31500</v>
      </c>
      <c r="T238" s="519">
        <f t="shared" ref="T238:AS238" si="261">SUM(T239:T242)</f>
        <v>31500</v>
      </c>
      <c r="U238" s="519">
        <f t="shared" si="261"/>
        <v>0</v>
      </c>
      <c r="V238" s="519">
        <f t="shared" si="261"/>
        <v>0</v>
      </c>
      <c r="W238" s="519">
        <f t="shared" si="261"/>
        <v>0</v>
      </c>
      <c r="X238" s="519">
        <f t="shared" si="261"/>
        <v>0</v>
      </c>
      <c r="Y238" s="519">
        <f t="shared" si="261"/>
        <v>0</v>
      </c>
      <c r="Z238" s="519">
        <f t="shared" si="261"/>
        <v>0</v>
      </c>
      <c r="AA238" s="519">
        <f t="shared" si="261"/>
        <v>0</v>
      </c>
      <c r="AB238" s="519">
        <f t="shared" si="261"/>
        <v>0</v>
      </c>
      <c r="AC238" s="519">
        <f t="shared" si="261"/>
        <v>0</v>
      </c>
      <c r="AD238" s="519">
        <f t="shared" si="261"/>
        <v>0</v>
      </c>
      <c r="AE238" s="519">
        <f t="shared" si="261"/>
        <v>0</v>
      </c>
      <c r="AF238" s="519">
        <f t="shared" si="261"/>
        <v>0</v>
      </c>
      <c r="AG238" s="519">
        <f t="shared" si="261"/>
        <v>0</v>
      </c>
      <c r="AH238" s="519">
        <f t="shared" si="261"/>
        <v>0</v>
      </c>
      <c r="AI238" s="519">
        <f t="shared" si="261"/>
        <v>0</v>
      </c>
      <c r="AJ238" s="519">
        <f t="shared" si="261"/>
        <v>0</v>
      </c>
      <c r="AK238" s="519">
        <f t="shared" si="261"/>
        <v>0</v>
      </c>
      <c r="AL238" s="519">
        <f t="shared" si="261"/>
        <v>150</v>
      </c>
      <c r="AM238" s="519">
        <f t="shared" si="261"/>
        <v>150</v>
      </c>
      <c r="AN238" s="519">
        <f t="shared" si="261"/>
        <v>0</v>
      </c>
      <c r="AO238" s="519">
        <f t="shared" si="261"/>
        <v>0</v>
      </c>
      <c r="AP238" s="519">
        <f t="shared" si="261"/>
        <v>150</v>
      </c>
      <c r="AQ238" s="519">
        <f t="shared" si="261"/>
        <v>150</v>
      </c>
      <c r="AR238" s="519">
        <f t="shared" si="261"/>
        <v>0</v>
      </c>
      <c r="AS238" s="519">
        <f t="shared" si="261"/>
        <v>0</v>
      </c>
      <c r="AT238" s="480"/>
      <c r="AU238" s="484"/>
      <c r="AV238" s="484"/>
      <c r="AW238" s="480"/>
      <c r="AX238" s="486"/>
      <c r="AZ238" s="487"/>
      <c r="BA238" s="487"/>
      <c r="BG238" s="488">
        <f t="shared" si="244"/>
        <v>0</v>
      </c>
    </row>
    <row r="239" spans="1:63" s="82" customFormat="1" ht="59.25" customHeight="1">
      <c r="A239" s="582">
        <v>1</v>
      </c>
      <c r="B239" s="552" t="s">
        <v>530</v>
      </c>
      <c r="C239" s="494" t="s">
        <v>514</v>
      </c>
      <c r="D239" s="494"/>
      <c r="E239" s="629" t="s">
        <v>995</v>
      </c>
      <c r="F239" s="494"/>
      <c r="G239" s="494"/>
      <c r="H239" s="494"/>
      <c r="I239" s="494"/>
      <c r="J239" s="495"/>
      <c r="K239" s="496"/>
      <c r="L239" s="496"/>
      <c r="M239" s="496"/>
      <c r="N239" s="496"/>
      <c r="O239" s="496"/>
      <c r="P239" s="496"/>
      <c r="Q239" s="496">
        <v>0</v>
      </c>
      <c r="R239" s="496">
        <f>N239+Y239</f>
        <v>0</v>
      </c>
      <c r="S239" s="496">
        <v>5700</v>
      </c>
      <c r="T239" s="496">
        <v>5700</v>
      </c>
      <c r="U239" s="496"/>
      <c r="V239" s="496"/>
      <c r="W239" s="496"/>
      <c r="X239" s="496">
        <v>0</v>
      </c>
      <c r="Y239" s="496"/>
      <c r="Z239" s="496"/>
      <c r="AA239" s="496"/>
      <c r="AB239" s="496"/>
      <c r="AC239" s="496"/>
      <c r="AD239" s="496"/>
      <c r="AE239" s="496"/>
      <c r="AF239" s="496"/>
      <c r="AG239" s="496"/>
      <c r="AH239" s="496">
        <f t="shared" ref="AH239:AH240" si="262">X239+AB239</f>
        <v>0</v>
      </c>
      <c r="AI239" s="496">
        <f t="shared" ref="AI239:AI240" si="263">Y239+AC239</f>
        <v>0</v>
      </c>
      <c r="AJ239" s="496"/>
      <c r="AK239" s="496"/>
      <c r="AL239" s="496">
        <f>AP239</f>
        <v>50</v>
      </c>
      <c r="AM239" s="496">
        <f>AQ239</f>
        <v>50</v>
      </c>
      <c r="AN239" s="496">
        <f>AR239</f>
        <v>0</v>
      </c>
      <c r="AO239" s="496">
        <f>AS239</f>
        <v>0</v>
      </c>
      <c r="AP239" s="496">
        <f>AQ239</f>
        <v>50</v>
      </c>
      <c r="AQ239" s="496">
        <v>50</v>
      </c>
      <c r="AR239" s="496"/>
      <c r="AS239" s="496"/>
      <c r="AT239" s="536" t="s">
        <v>1069</v>
      </c>
      <c r="AU239" s="484">
        <f>AP239-AQ239</f>
        <v>0</v>
      </c>
      <c r="AV239" s="484">
        <f>V239-AA239</f>
        <v>0</v>
      </c>
      <c r="AW239" s="521"/>
      <c r="AX239" s="548">
        <f>T239</f>
        <v>5700</v>
      </c>
      <c r="AY239" s="82">
        <f>T239-AX239</f>
        <v>0</v>
      </c>
      <c r="BE239" s="82">
        <v>1</v>
      </c>
      <c r="BF239" s="82">
        <f>AQ239</f>
        <v>50</v>
      </c>
      <c r="BG239" s="488">
        <f>AL239-AQ239</f>
        <v>0</v>
      </c>
    </row>
    <row r="240" spans="1:63" s="82" customFormat="1" ht="59.25" customHeight="1">
      <c r="A240" s="484">
        <v>2</v>
      </c>
      <c r="B240" s="552" t="s">
        <v>529</v>
      </c>
      <c r="C240" s="494" t="s">
        <v>514</v>
      </c>
      <c r="D240" s="494"/>
      <c r="E240" s="629" t="s">
        <v>995</v>
      </c>
      <c r="F240" s="494"/>
      <c r="G240" s="494"/>
      <c r="H240" s="494"/>
      <c r="I240" s="494"/>
      <c r="J240" s="578"/>
      <c r="K240" s="496"/>
      <c r="L240" s="496"/>
      <c r="M240" s="496"/>
      <c r="N240" s="496"/>
      <c r="O240" s="496"/>
      <c r="P240" s="496"/>
      <c r="Q240" s="496">
        <f>M240+X240</f>
        <v>0</v>
      </c>
      <c r="R240" s="496">
        <f>N240+Y240</f>
        <v>0</v>
      </c>
      <c r="S240" s="496">
        <f>T240</f>
        <v>10800</v>
      </c>
      <c r="T240" s="496">
        <v>10800</v>
      </c>
      <c r="U240" s="496"/>
      <c r="V240" s="496"/>
      <c r="W240" s="496"/>
      <c r="X240" s="496"/>
      <c r="Y240" s="496"/>
      <c r="Z240" s="496"/>
      <c r="AA240" s="496"/>
      <c r="AB240" s="496"/>
      <c r="AC240" s="496"/>
      <c r="AD240" s="496"/>
      <c r="AE240" s="496"/>
      <c r="AF240" s="496"/>
      <c r="AG240" s="496"/>
      <c r="AH240" s="496">
        <f t="shared" si="262"/>
        <v>0</v>
      </c>
      <c r="AI240" s="496">
        <f t="shared" si="263"/>
        <v>0</v>
      </c>
      <c r="AJ240" s="496"/>
      <c r="AK240" s="496"/>
      <c r="AL240" s="496">
        <f t="shared" ref="AL240" si="264">AP240</f>
        <v>50</v>
      </c>
      <c r="AM240" s="496">
        <f t="shared" ref="AM240" si="265">AQ240</f>
        <v>50</v>
      </c>
      <c r="AN240" s="496">
        <f t="shared" ref="AN240" si="266">AR240</f>
        <v>0</v>
      </c>
      <c r="AO240" s="496">
        <f t="shared" ref="AO240" si="267">AS240</f>
        <v>0</v>
      </c>
      <c r="AP240" s="496">
        <f>AQ240</f>
        <v>50</v>
      </c>
      <c r="AQ240" s="496">
        <v>50</v>
      </c>
      <c r="AR240" s="496"/>
      <c r="AS240" s="496"/>
      <c r="AT240" s="536" t="s">
        <v>1069</v>
      </c>
      <c r="AU240" s="484">
        <f>AP240-AQ240</f>
        <v>0</v>
      </c>
      <c r="AV240" s="484">
        <f>V240-AA240</f>
        <v>0</v>
      </c>
      <c r="AW240" s="521">
        <f>AC240</f>
        <v>0</v>
      </c>
      <c r="AX240" s="548">
        <f>T240</f>
        <v>10800</v>
      </c>
      <c r="AY240" s="82">
        <f>T240-AX240</f>
        <v>0</v>
      </c>
      <c r="BE240" s="82">
        <v>1</v>
      </c>
      <c r="BF240" s="82">
        <f>AQ240</f>
        <v>50</v>
      </c>
      <c r="BG240" s="488">
        <f t="shared" ref="BG240" si="268">AL240-AQ240</f>
        <v>0</v>
      </c>
    </row>
    <row r="241" spans="1:59" s="82" customFormat="1" ht="59.25" customHeight="1">
      <c r="A241" s="484">
        <v>3</v>
      </c>
      <c r="B241" s="552" t="s">
        <v>533</v>
      </c>
      <c r="C241" s="494" t="s">
        <v>514</v>
      </c>
      <c r="D241" s="494"/>
      <c r="E241" s="629" t="s">
        <v>995</v>
      </c>
      <c r="F241" s="494"/>
      <c r="G241" s="494"/>
      <c r="H241" s="494"/>
      <c r="I241" s="494"/>
      <c r="J241" s="495"/>
      <c r="K241" s="496"/>
      <c r="L241" s="496"/>
      <c r="M241" s="496"/>
      <c r="N241" s="496"/>
      <c r="O241" s="496"/>
      <c r="P241" s="496"/>
      <c r="Q241" s="496">
        <f t="shared" ref="Q241:R242" si="269">M241+X241</f>
        <v>0</v>
      </c>
      <c r="R241" s="496">
        <f t="shared" si="269"/>
        <v>0</v>
      </c>
      <c r="S241" s="496">
        <v>10000</v>
      </c>
      <c r="T241" s="496">
        <f>S241</f>
        <v>10000</v>
      </c>
      <c r="U241" s="496"/>
      <c r="V241" s="496"/>
      <c r="W241" s="496"/>
      <c r="X241" s="496"/>
      <c r="Y241" s="496"/>
      <c r="Z241" s="496"/>
      <c r="AA241" s="496"/>
      <c r="AB241" s="496"/>
      <c r="AC241" s="496"/>
      <c r="AD241" s="496"/>
      <c r="AE241" s="496"/>
      <c r="AF241" s="496"/>
      <c r="AG241" s="496"/>
      <c r="AH241" s="496">
        <f t="shared" ref="AH241:AI241" si="270">X241+AB241</f>
        <v>0</v>
      </c>
      <c r="AI241" s="496">
        <f t="shared" si="270"/>
        <v>0</v>
      </c>
      <c r="AJ241" s="496"/>
      <c r="AK241" s="496"/>
      <c r="AL241" s="496">
        <f t="shared" ref="AL241:AO241" si="271">AP241</f>
        <v>50</v>
      </c>
      <c r="AM241" s="496">
        <f t="shared" si="271"/>
        <v>50</v>
      </c>
      <c r="AN241" s="496">
        <f t="shared" si="271"/>
        <v>0</v>
      </c>
      <c r="AO241" s="496">
        <f t="shared" si="271"/>
        <v>0</v>
      </c>
      <c r="AP241" s="496">
        <f>AQ241</f>
        <v>50</v>
      </c>
      <c r="AQ241" s="496">
        <v>50</v>
      </c>
      <c r="AR241" s="496"/>
      <c r="AS241" s="496"/>
      <c r="AT241" s="536" t="s">
        <v>1069</v>
      </c>
      <c r="AU241" s="484">
        <f>AP241-AQ241</f>
        <v>0</v>
      </c>
      <c r="AV241" s="484">
        <f>V241-AA241</f>
        <v>0</v>
      </c>
      <c r="AW241" s="521"/>
      <c r="AX241" s="548"/>
      <c r="BG241" s="488">
        <f t="shared" si="244"/>
        <v>0</v>
      </c>
    </row>
    <row r="242" spans="1:59" s="82" customFormat="1" ht="59.25" customHeight="1">
      <c r="A242" s="582">
        <v>3</v>
      </c>
      <c r="B242" s="552" t="s">
        <v>535</v>
      </c>
      <c r="C242" s="494" t="s">
        <v>514</v>
      </c>
      <c r="D242" s="494"/>
      <c r="E242" s="629" t="s">
        <v>995</v>
      </c>
      <c r="F242" s="494"/>
      <c r="G242" s="494"/>
      <c r="H242" s="494"/>
      <c r="I242" s="494"/>
      <c r="J242" s="495"/>
      <c r="K242" s="496"/>
      <c r="L242" s="496"/>
      <c r="M242" s="496"/>
      <c r="N242" s="496"/>
      <c r="O242" s="496"/>
      <c r="P242" s="496"/>
      <c r="Q242" s="496">
        <f t="shared" si="269"/>
        <v>0</v>
      </c>
      <c r="R242" s="496">
        <f t="shared" si="269"/>
        <v>0</v>
      </c>
      <c r="S242" s="496">
        <v>5000</v>
      </c>
      <c r="T242" s="496">
        <v>5000</v>
      </c>
      <c r="U242" s="496"/>
      <c r="V242" s="496"/>
      <c r="W242" s="496"/>
      <c r="X242" s="496"/>
      <c r="Y242" s="496"/>
      <c r="Z242" s="496"/>
      <c r="AA242" s="496"/>
      <c r="AB242" s="496"/>
      <c r="AC242" s="496"/>
      <c r="AD242" s="496"/>
      <c r="AE242" s="496"/>
      <c r="AF242" s="496"/>
      <c r="AG242" s="496"/>
      <c r="AH242" s="496">
        <f>X242+AB242</f>
        <v>0</v>
      </c>
      <c r="AI242" s="496">
        <f>Y242+AC242</f>
        <v>0</v>
      </c>
      <c r="AJ242" s="496"/>
      <c r="AK242" s="496"/>
      <c r="AL242" s="496">
        <f>AP242</f>
        <v>0</v>
      </c>
      <c r="AM242" s="496">
        <f>AQ242</f>
        <v>0</v>
      </c>
      <c r="AN242" s="496">
        <f>AR242</f>
        <v>0</v>
      </c>
      <c r="AO242" s="496">
        <f>AS242</f>
        <v>0</v>
      </c>
      <c r="AP242" s="496"/>
      <c r="AQ242" s="496"/>
      <c r="AR242" s="496"/>
      <c r="AS242" s="496"/>
      <c r="AT242" s="536"/>
      <c r="AU242" s="484">
        <f>AP242-AQ242</f>
        <v>0</v>
      </c>
      <c r="AV242" s="484">
        <f>V242-AA242</f>
        <v>0</v>
      </c>
      <c r="AW242" s="521"/>
      <c r="AX242" s="548"/>
      <c r="BG242" s="488">
        <f>AL242-AQ242</f>
        <v>0</v>
      </c>
    </row>
    <row r="243" spans="1:59" s="82" customFormat="1" ht="59.25" customHeight="1">
      <c r="A243" s="582"/>
      <c r="B243" s="552"/>
      <c r="C243" s="494"/>
      <c r="D243" s="494"/>
      <c r="E243" s="494"/>
      <c r="F243" s="494"/>
      <c r="G243" s="494"/>
      <c r="H243" s="494"/>
      <c r="I243" s="494"/>
      <c r="J243" s="495"/>
      <c r="K243" s="496"/>
      <c r="L243" s="496"/>
      <c r="M243" s="496"/>
      <c r="N243" s="496"/>
      <c r="O243" s="496"/>
      <c r="P243" s="496"/>
      <c r="Q243" s="496"/>
      <c r="R243" s="496"/>
      <c r="S243" s="496"/>
      <c r="T243" s="496"/>
      <c r="U243" s="496"/>
      <c r="V243" s="496"/>
      <c r="W243" s="496"/>
      <c r="X243" s="496"/>
      <c r="Y243" s="496"/>
      <c r="Z243" s="496"/>
      <c r="AA243" s="496"/>
      <c r="AB243" s="496"/>
      <c r="AC243" s="496"/>
      <c r="AD243" s="496"/>
      <c r="AE243" s="496"/>
      <c r="AF243" s="496"/>
      <c r="AG243" s="496"/>
      <c r="AH243" s="482"/>
      <c r="AI243" s="482"/>
      <c r="AJ243" s="482"/>
      <c r="AK243" s="482"/>
      <c r="AL243" s="482"/>
      <c r="AM243" s="482"/>
      <c r="AN243" s="482"/>
      <c r="AO243" s="482"/>
      <c r="AP243" s="496"/>
      <c r="AQ243" s="496"/>
      <c r="AR243" s="496"/>
      <c r="AS243" s="496"/>
      <c r="AT243" s="494"/>
      <c r="AU243" s="484"/>
      <c r="AV243" s="484"/>
      <c r="AW243" s="536"/>
      <c r="AX243" s="548"/>
      <c r="BG243" s="488">
        <f t="shared" si="244"/>
        <v>0</v>
      </c>
    </row>
    <row r="244" spans="1:59" s="80" customFormat="1" ht="59.25" customHeight="1">
      <c r="A244" s="484">
        <v>12</v>
      </c>
      <c r="B244" s="552" t="s">
        <v>531</v>
      </c>
      <c r="C244" s="494" t="s">
        <v>514</v>
      </c>
      <c r="D244" s="494"/>
      <c r="E244" s="494"/>
      <c r="F244" s="494"/>
      <c r="G244" s="494"/>
      <c r="H244" s="526"/>
      <c r="I244" s="526"/>
      <c r="J244" s="563"/>
      <c r="K244" s="496"/>
      <c r="L244" s="496"/>
      <c r="M244" s="496"/>
      <c r="N244" s="496"/>
      <c r="O244" s="496"/>
      <c r="P244" s="496"/>
      <c r="Q244" s="496">
        <f t="shared" ref="Q244:Q293" si="272">M244+X244</f>
        <v>0</v>
      </c>
      <c r="R244" s="496">
        <f t="shared" ref="R244:R293" si="273">N244+Y244</f>
        <v>0</v>
      </c>
      <c r="S244" s="496">
        <v>8000</v>
      </c>
      <c r="T244" s="496">
        <v>8000</v>
      </c>
      <c r="U244" s="496"/>
      <c r="V244" s="496"/>
      <c r="W244" s="496"/>
      <c r="X244" s="496"/>
      <c r="Y244" s="496"/>
      <c r="Z244" s="496"/>
      <c r="AA244" s="496"/>
      <c r="AB244" s="496"/>
      <c r="AC244" s="496"/>
      <c r="AD244" s="496"/>
      <c r="AE244" s="496"/>
      <c r="AF244" s="496"/>
      <c r="AG244" s="496"/>
      <c r="AH244" s="482">
        <f t="shared" si="237"/>
        <v>0</v>
      </c>
      <c r="AI244" s="482">
        <f t="shared" si="238"/>
        <v>0</v>
      </c>
      <c r="AJ244" s="482"/>
      <c r="AK244" s="482"/>
      <c r="AL244" s="482">
        <f t="shared" si="239"/>
        <v>0</v>
      </c>
      <c r="AM244" s="482">
        <f t="shared" si="240"/>
        <v>0</v>
      </c>
      <c r="AN244" s="482">
        <f t="shared" si="241"/>
        <v>0</v>
      </c>
      <c r="AO244" s="482">
        <f t="shared" si="242"/>
        <v>0</v>
      </c>
      <c r="AP244" s="496"/>
      <c r="AQ244" s="496"/>
      <c r="AR244" s="496"/>
      <c r="AS244" s="496"/>
      <c r="AT244" s="582"/>
      <c r="AU244" s="484">
        <f t="shared" si="234"/>
        <v>0</v>
      </c>
      <c r="AV244" s="484">
        <f t="shared" si="259"/>
        <v>0</v>
      </c>
      <c r="AW244" s="582"/>
      <c r="AX244" s="542"/>
      <c r="BG244" s="488">
        <f t="shared" si="244"/>
        <v>0</v>
      </c>
    </row>
    <row r="245" spans="1:59" s="80" customFormat="1" ht="59.25" customHeight="1">
      <c r="A245" s="484">
        <v>13</v>
      </c>
      <c r="B245" s="552" t="s">
        <v>532</v>
      </c>
      <c r="C245" s="494" t="s">
        <v>514</v>
      </c>
      <c r="D245" s="494"/>
      <c r="E245" s="494"/>
      <c r="F245" s="494"/>
      <c r="G245" s="494"/>
      <c r="H245" s="526"/>
      <c r="I245" s="526"/>
      <c r="J245" s="558"/>
      <c r="K245" s="496"/>
      <c r="L245" s="496"/>
      <c r="M245" s="496"/>
      <c r="N245" s="496"/>
      <c r="O245" s="496"/>
      <c r="P245" s="496"/>
      <c r="Q245" s="496">
        <f t="shared" si="272"/>
        <v>0</v>
      </c>
      <c r="R245" s="496">
        <f t="shared" si="273"/>
        <v>0</v>
      </c>
      <c r="S245" s="496">
        <v>9000</v>
      </c>
      <c r="T245" s="496">
        <v>9000</v>
      </c>
      <c r="U245" s="496"/>
      <c r="V245" s="496"/>
      <c r="W245" s="496"/>
      <c r="X245" s="496"/>
      <c r="Y245" s="496"/>
      <c r="Z245" s="496"/>
      <c r="AA245" s="496"/>
      <c r="AB245" s="496"/>
      <c r="AC245" s="496"/>
      <c r="AD245" s="496"/>
      <c r="AE245" s="496"/>
      <c r="AF245" s="496"/>
      <c r="AG245" s="496"/>
      <c r="AH245" s="482">
        <f t="shared" si="237"/>
        <v>0</v>
      </c>
      <c r="AI245" s="482">
        <f t="shared" si="238"/>
        <v>0</v>
      </c>
      <c r="AJ245" s="482"/>
      <c r="AK245" s="482"/>
      <c r="AL245" s="482">
        <f t="shared" si="239"/>
        <v>0</v>
      </c>
      <c r="AM245" s="482">
        <f t="shared" si="240"/>
        <v>0</v>
      </c>
      <c r="AN245" s="482">
        <f t="shared" si="241"/>
        <v>0</v>
      </c>
      <c r="AO245" s="482">
        <f t="shared" si="242"/>
        <v>0</v>
      </c>
      <c r="AP245" s="496"/>
      <c r="AQ245" s="496"/>
      <c r="AR245" s="496"/>
      <c r="AS245" s="496"/>
      <c r="AT245" s="582"/>
      <c r="AU245" s="484">
        <f t="shared" si="234"/>
        <v>0</v>
      </c>
      <c r="AV245" s="484">
        <f t="shared" si="259"/>
        <v>0</v>
      </c>
      <c r="AW245" s="582"/>
      <c r="AX245" s="542"/>
      <c r="BG245" s="488">
        <f t="shared" si="244"/>
        <v>0</v>
      </c>
    </row>
    <row r="246" spans="1:59" s="82" customFormat="1" ht="59.25" customHeight="1">
      <c r="A246" s="582">
        <v>14</v>
      </c>
      <c r="B246" s="552" t="s">
        <v>534</v>
      </c>
      <c r="C246" s="494" t="s">
        <v>514</v>
      </c>
      <c r="D246" s="494"/>
      <c r="E246" s="494"/>
      <c r="F246" s="494"/>
      <c r="G246" s="494"/>
      <c r="H246" s="494"/>
      <c r="I246" s="494"/>
      <c r="J246" s="495"/>
      <c r="K246" s="496"/>
      <c r="L246" s="496"/>
      <c r="M246" s="496"/>
      <c r="N246" s="496"/>
      <c r="O246" s="496"/>
      <c r="P246" s="496"/>
      <c r="Q246" s="496">
        <f t="shared" si="272"/>
        <v>0</v>
      </c>
      <c r="R246" s="496">
        <f t="shared" si="273"/>
        <v>0</v>
      </c>
      <c r="S246" s="496">
        <v>3000</v>
      </c>
      <c r="T246" s="496">
        <v>3000</v>
      </c>
      <c r="U246" s="496"/>
      <c r="V246" s="496"/>
      <c r="W246" s="496"/>
      <c r="X246" s="496"/>
      <c r="Y246" s="496"/>
      <c r="Z246" s="496"/>
      <c r="AA246" s="496"/>
      <c r="AB246" s="496"/>
      <c r="AC246" s="496"/>
      <c r="AD246" s="496"/>
      <c r="AE246" s="496"/>
      <c r="AF246" s="496"/>
      <c r="AG246" s="496"/>
      <c r="AH246" s="482">
        <f t="shared" si="237"/>
        <v>0</v>
      </c>
      <c r="AI246" s="482">
        <f t="shared" si="238"/>
        <v>0</v>
      </c>
      <c r="AJ246" s="482"/>
      <c r="AK246" s="482"/>
      <c r="AL246" s="482">
        <f t="shared" si="239"/>
        <v>0</v>
      </c>
      <c r="AM246" s="482">
        <f t="shared" si="240"/>
        <v>0</v>
      </c>
      <c r="AN246" s="482">
        <f t="shared" si="241"/>
        <v>0</v>
      </c>
      <c r="AO246" s="482">
        <f t="shared" si="242"/>
        <v>0</v>
      </c>
      <c r="AP246" s="496"/>
      <c r="AQ246" s="496"/>
      <c r="AR246" s="496"/>
      <c r="AS246" s="496"/>
      <c r="AT246" s="494"/>
      <c r="AU246" s="484">
        <f t="shared" si="234"/>
        <v>0</v>
      </c>
      <c r="AV246" s="484">
        <f t="shared" si="259"/>
        <v>0</v>
      </c>
      <c r="AW246" s="521"/>
      <c r="AX246" s="548"/>
      <c r="BG246" s="488">
        <f t="shared" si="244"/>
        <v>0</v>
      </c>
    </row>
    <row r="247" spans="1:59" s="82" customFormat="1" ht="59.25" customHeight="1">
      <c r="A247" s="582">
        <v>1</v>
      </c>
      <c r="B247" s="552" t="s">
        <v>528</v>
      </c>
      <c r="C247" s="494" t="s">
        <v>514</v>
      </c>
      <c r="D247" s="494"/>
      <c r="E247" s="494"/>
      <c r="F247" s="494"/>
      <c r="G247" s="494"/>
      <c r="H247" s="494"/>
      <c r="I247" s="494"/>
      <c r="J247" s="495"/>
      <c r="K247" s="496"/>
      <c r="L247" s="496"/>
      <c r="M247" s="496"/>
      <c r="N247" s="496"/>
      <c r="O247" s="496"/>
      <c r="P247" s="496"/>
      <c r="Q247" s="496">
        <f>M247+X247</f>
        <v>0</v>
      </c>
      <c r="R247" s="496">
        <f>N247+Y247</f>
        <v>0</v>
      </c>
      <c r="S247" s="496">
        <v>8000</v>
      </c>
      <c r="T247" s="496">
        <v>8000</v>
      </c>
      <c r="U247" s="496"/>
      <c r="V247" s="496"/>
      <c r="W247" s="496"/>
      <c r="X247" s="496"/>
      <c r="Y247" s="496"/>
      <c r="Z247" s="496"/>
      <c r="AA247" s="496"/>
      <c r="AB247" s="496">
        <v>100</v>
      </c>
      <c r="AC247" s="496">
        <v>100</v>
      </c>
      <c r="AD247" s="496"/>
      <c r="AE247" s="496"/>
      <c r="AF247" s="496"/>
      <c r="AG247" s="496"/>
      <c r="AH247" s="482">
        <f>X247+AB247</f>
        <v>100</v>
      </c>
      <c r="AI247" s="482">
        <f>Y247+AC247</f>
        <v>100</v>
      </c>
      <c r="AJ247" s="482"/>
      <c r="AK247" s="482"/>
      <c r="AL247" s="482">
        <f>AP247</f>
        <v>0</v>
      </c>
      <c r="AM247" s="482">
        <f>AQ247</f>
        <v>0</v>
      </c>
      <c r="AN247" s="482">
        <f>AR247</f>
        <v>0</v>
      </c>
      <c r="AO247" s="482">
        <f>AS247</f>
        <v>0</v>
      </c>
      <c r="AP247" s="496"/>
      <c r="AQ247" s="496"/>
      <c r="AR247" s="496"/>
      <c r="AS247" s="496"/>
      <c r="AT247" s="494" t="s">
        <v>770</v>
      </c>
      <c r="AU247" s="484">
        <f>AP247-AQ247</f>
        <v>0</v>
      </c>
      <c r="AV247" s="484">
        <f>V247-AA247</f>
        <v>0</v>
      </c>
      <c r="AW247" s="521"/>
      <c r="AX247" s="548"/>
      <c r="BG247" s="488">
        <f t="shared" si="244"/>
        <v>0</v>
      </c>
    </row>
    <row r="248" spans="1:59" s="82" customFormat="1" ht="59.25" hidden="1" customHeight="1">
      <c r="A248" s="543"/>
      <c r="B248" s="552"/>
      <c r="C248" s="545"/>
      <c r="D248" s="545"/>
      <c r="E248" s="545"/>
      <c r="F248" s="545"/>
      <c r="G248" s="545"/>
      <c r="H248" s="494"/>
      <c r="I248" s="494"/>
      <c r="J248" s="495"/>
      <c r="K248" s="496"/>
      <c r="L248" s="496"/>
      <c r="M248" s="496"/>
      <c r="N248" s="496"/>
      <c r="O248" s="496"/>
      <c r="P248" s="496"/>
      <c r="Q248" s="496"/>
      <c r="R248" s="496"/>
      <c r="S248" s="496"/>
      <c r="T248" s="496"/>
      <c r="U248" s="496"/>
      <c r="V248" s="496"/>
      <c r="W248" s="496"/>
      <c r="X248" s="496"/>
      <c r="Y248" s="496"/>
      <c r="Z248" s="496"/>
      <c r="AA248" s="496"/>
      <c r="AB248" s="496"/>
      <c r="AC248" s="496"/>
      <c r="AD248" s="496"/>
      <c r="AE248" s="496"/>
      <c r="AF248" s="496"/>
      <c r="AG248" s="496"/>
      <c r="AH248" s="482">
        <f t="shared" si="237"/>
        <v>0</v>
      </c>
      <c r="AI248" s="482">
        <f t="shared" si="238"/>
        <v>0</v>
      </c>
      <c r="AJ248" s="482"/>
      <c r="AK248" s="482"/>
      <c r="AL248" s="482">
        <f t="shared" si="239"/>
        <v>0</v>
      </c>
      <c r="AM248" s="482">
        <f t="shared" si="240"/>
        <v>0</v>
      </c>
      <c r="AN248" s="482">
        <f t="shared" si="241"/>
        <v>0</v>
      </c>
      <c r="AO248" s="482">
        <f t="shared" si="242"/>
        <v>0</v>
      </c>
      <c r="AP248" s="496"/>
      <c r="AQ248" s="496"/>
      <c r="AR248" s="496"/>
      <c r="AS248" s="496"/>
      <c r="AT248" s="494"/>
      <c r="AU248" s="484">
        <f t="shared" si="234"/>
        <v>0</v>
      </c>
      <c r="AV248" s="484">
        <f t="shared" si="259"/>
        <v>0</v>
      </c>
      <c r="AW248" s="521"/>
      <c r="AX248" s="548"/>
      <c r="BG248" s="488">
        <f t="shared" si="244"/>
        <v>0</v>
      </c>
    </row>
    <row r="249" spans="1:59" s="81" customFormat="1" ht="59.25" customHeight="1">
      <c r="A249" s="478"/>
      <c r="B249" s="479" t="s">
        <v>331</v>
      </c>
      <c r="C249" s="480"/>
      <c r="D249" s="480"/>
      <c r="E249" s="480"/>
      <c r="F249" s="480"/>
      <c r="G249" s="480"/>
      <c r="H249" s="480"/>
      <c r="I249" s="480"/>
      <c r="J249" s="481"/>
      <c r="K249" s="482"/>
      <c r="L249" s="482"/>
      <c r="M249" s="482"/>
      <c r="N249" s="482"/>
      <c r="O249" s="482"/>
      <c r="P249" s="482"/>
      <c r="Q249" s="496"/>
      <c r="R249" s="496"/>
      <c r="S249" s="482"/>
      <c r="T249" s="482"/>
      <c r="U249" s="482"/>
      <c r="V249" s="482"/>
      <c r="W249" s="482"/>
      <c r="X249" s="482"/>
      <c r="Y249" s="482"/>
      <c r="Z249" s="482"/>
      <c r="AA249" s="482"/>
      <c r="AB249" s="482"/>
      <c r="AC249" s="482">
        <v>22480</v>
      </c>
      <c r="AD249" s="482"/>
      <c r="AE249" s="482"/>
      <c r="AF249" s="482"/>
      <c r="AG249" s="482">
        <f>AC249*1.05</f>
        <v>23604</v>
      </c>
      <c r="AH249" s="482"/>
      <c r="AI249" s="482"/>
      <c r="AJ249" s="482"/>
      <c r="AK249" s="482"/>
      <c r="AL249" s="482"/>
      <c r="AM249" s="482"/>
      <c r="AN249" s="482"/>
      <c r="AO249" s="482"/>
      <c r="AP249" s="482"/>
      <c r="AQ249" s="482">
        <v>23569</v>
      </c>
      <c r="AR249" s="482"/>
      <c r="AS249" s="482"/>
      <c r="AT249" s="489">
        <f>AQ249-AQ250</f>
        <v>0</v>
      </c>
      <c r="AU249" s="484">
        <f t="shared" si="234"/>
        <v>-23569</v>
      </c>
      <c r="AV249" s="484">
        <f t="shared" si="259"/>
        <v>0</v>
      </c>
      <c r="AW249" s="489"/>
      <c r="AX249" s="537"/>
      <c r="BG249" s="488">
        <f t="shared" si="244"/>
        <v>-23569</v>
      </c>
    </row>
    <row r="250" spans="1:59" s="81" customFormat="1" ht="59.25" customHeight="1">
      <c r="A250" s="533" t="s">
        <v>536</v>
      </c>
      <c r="B250" s="534" t="s">
        <v>537</v>
      </c>
      <c r="C250" s="480"/>
      <c r="D250" s="480"/>
      <c r="E250" s="480"/>
      <c r="F250" s="480"/>
      <c r="G250" s="480"/>
      <c r="H250" s="540"/>
      <c r="I250" s="480"/>
      <c r="J250" s="481"/>
      <c r="K250" s="482">
        <f t="shared" ref="K250:AS250" si="274">K251+K254+K264+K266</f>
        <v>173720</v>
      </c>
      <c r="L250" s="482">
        <f t="shared" si="274"/>
        <v>137727</v>
      </c>
      <c r="M250" s="482">
        <f t="shared" si="274"/>
        <v>28969</v>
      </c>
      <c r="N250" s="482">
        <f t="shared" si="274"/>
        <v>21469</v>
      </c>
      <c r="O250" s="482">
        <f t="shared" si="274"/>
        <v>25210</v>
      </c>
      <c r="P250" s="482">
        <f t="shared" si="274"/>
        <v>21469</v>
      </c>
      <c r="Q250" s="482">
        <f t="shared" si="274"/>
        <v>43829</v>
      </c>
      <c r="R250" s="482">
        <f t="shared" si="274"/>
        <v>36329</v>
      </c>
      <c r="S250" s="482">
        <f t="shared" si="274"/>
        <v>153565.1</v>
      </c>
      <c r="T250" s="482">
        <f t="shared" si="274"/>
        <v>125671.1</v>
      </c>
      <c r="U250" s="482">
        <f t="shared" si="274"/>
        <v>0</v>
      </c>
      <c r="V250" s="482">
        <f t="shared" si="274"/>
        <v>0</v>
      </c>
      <c r="W250" s="482">
        <f t="shared" si="274"/>
        <v>59794</v>
      </c>
      <c r="X250" s="482">
        <f t="shared" si="274"/>
        <v>14860</v>
      </c>
      <c r="Y250" s="482">
        <f t="shared" si="274"/>
        <v>14860</v>
      </c>
      <c r="Z250" s="482">
        <f t="shared" si="274"/>
        <v>0</v>
      </c>
      <c r="AA250" s="482">
        <f t="shared" si="274"/>
        <v>0</v>
      </c>
      <c r="AB250" s="482">
        <f t="shared" si="274"/>
        <v>34177</v>
      </c>
      <c r="AC250" s="482">
        <f t="shared" si="274"/>
        <v>27177</v>
      </c>
      <c r="AD250" s="482">
        <f t="shared" si="274"/>
        <v>0</v>
      </c>
      <c r="AE250" s="482">
        <f t="shared" si="274"/>
        <v>0</v>
      </c>
      <c r="AF250" s="482">
        <f t="shared" si="274"/>
        <v>1387.4349999999999</v>
      </c>
      <c r="AG250" s="482">
        <f t="shared" si="274"/>
        <v>13172.434999999999</v>
      </c>
      <c r="AH250" s="482">
        <f t="shared" si="274"/>
        <v>49037</v>
      </c>
      <c r="AI250" s="482">
        <f t="shared" si="274"/>
        <v>42037</v>
      </c>
      <c r="AJ250" s="482">
        <f t="shared" si="274"/>
        <v>0</v>
      </c>
      <c r="AK250" s="482">
        <f t="shared" si="274"/>
        <v>0</v>
      </c>
      <c r="AL250" s="482">
        <f t="shared" si="274"/>
        <v>23569</v>
      </c>
      <c r="AM250" s="482">
        <f t="shared" si="274"/>
        <v>23569</v>
      </c>
      <c r="AN250" s="482">
        <f t="shared" si="274"/>
        <v>1000</v>
      </c>
      <c r="AO250" s="482">
        <f t="shared" si="274"/>
        <v>0</v>
      </c>
      <c r="AP250" s="482">
        <f t="shared" si="274"/>
        <v>23569</v>
      </c>
      <c r="AQ250" s="482">
        <f t="shared" si="274"/>
        <v>23569</v>
      </c>
      <c r="AR250" s="482">
        <f t="shared" si="274"/>
        <v>1000</v>
      </c>
      <c r="AS250" s="482">
        <f t="shared" si="274"/>
        <v>0</v>
      </c>
      <c r="AT250" s="551"/>
      <c r="AU250" s="484">
        <f t="shared" si="234"/>
        <v>0</v>
      </c>
      <c r="AV250" s="484">
        <f t="shared" si="259"/>
        <v>0</v>
      </c>
      <c r="AW250" s="551"/>
      <c r="AX250" s="537"/>
      <c r="BG250" s="488">
        <f t="shared" si="244"/>
        <v>0</v>
      </c>
    </row>
    <row r="251" spans="1:59" s="80" customFormat="1" ht="59.25" customHeight="1">
      <c r="A251" s="478" t="s">
        <v>33</v>
      </c>
      <c r="B251" s="539" t="s">
        <v>287</v>
      </c>
      <c r="C251" s="526"/>
      <c r="D251" s="526"/>
      <c r="E251" s="526"/>
      <c r="F251" s="526"/>
      <c r="G251" s="526"/>
      <c r="H251" s="526"/>
      <c r="I251" s="526"/>
      <c r="J251" s="527"/>
      <c r="K251" s="525">
        <f>K252</f>
        <v>47000</v>
      </c>
      <c r="L251" s="525">
        <f t="shared" ref="L251:AS252" si="275">L252</f>
        <v>47000</v>
      </c>
      <c r="M251" s="525">
        <f t="shared" si="275"/>
        <v>21469</v>
      </c>
      <c r="N251" s="525">
        <f t="shared" si="275"/>
        <v>21469</v>
      </c>
      <c r="O251" s="525">
        <f t="shared" si="275"/>
        <v>21469</v>
      </c>
      <c r="P251" s="525">
        <f t="shared" si="275"/>
        <v>21469</v>
      </c>
      <c r="Q251" s="525">
        <f t="shared" si="275"/>
        <v>35360</v>
      </c>
      <c r="R251" s="525">
        <f t="shared" si="275"/>
        <v>35360</v>
      </c>
      <c r="S251" s="525">
        <f t="shared" si="275"/>
        <v>20531</v>
      </c>
      <c r="T251" s="525">
        <f t="shared" si="275"/>
        <v>20531</v>
      </c>
      <c r="U251" s="525">
        <f t="shared" si="275"/>
        <v>0</v>
      </c>
      <c r="V251" s="525">
        <f t="shared" si="275"/>
        <v>0</v>
      </c>
      <c r="W251" s="525">
        <f t="shared" si="275"/>
        <v>30907</v>
      </c>
      <c r="X251" s="525">
        <f t="shared" si="275"/>
        <v>13891</v>
      </c>
      <c r="Y251" s="525">
        <f t="shared" si="275"/>
        <v>13891</v>
      </c>
      <c r="Z251" s="525">
        <f t="shared" si="275"/>
        <v>0</v>
      </c>
      <c r="AA251" s="525">
        <f t="shared" si="275"/>
        <v>0</v>
      </c>
      <c r="AB251" s="525">
        <f t="shared" si="275"/>
        <v>5000</v>
      </c>
      <c r="AC251" s="525">
        <f t="shared" si="275"/>
        <v>5000</v>
      </c>
      <c r="AD251" s="525">
        <f t="shared" si="275"/>
        <v>0</v>
      </c>
      <c r="AE251" s="525">
        <f t="shared" si="275"/>
        <v>0</v>
      </c>
      <c r="AF251" s="525">
        <f t="shared" si="275"/>
        <v>0</v>
      </c>
      <c r="AG251" s="525">
        <f t="shared" si="275"/>
        <v>4000</v>
      </c>
      <c r="AH251" s="525">
        <f t="shared" si="275"/>
        <v>18891</v>
      </c>
      <c r="AI251" s="525">
        <f t="shared" si="275"/>
        <v>18891</v>
      </c>
      <c r="AJ251" s="525"/>
      <c r="AK251" s="525"/>
      <c r="AL251" s="525">
        <f t="shared" si="275"/>
        <v>4000</v>
      </c>
      <c r="AM251" s="525">
        <f t="shared" si="275"/>
        <v>4000</v>
      </c>
      <c r="AN251" s="525">
        <f t="shared" si="275"/>
        <v>0</v>
      </c>
      <c r="AO251" s="525">
        <f t="shared" si="275"/>
        <v>0</v>
      </c>
      <c r="AP251" s="525">
        <f t="shared" si="275"/>
        <v>4000</v>
      </c>
      <c r="AQ251" s="525">
        <f t="shared" si="275"/>
        <v>4000</v>
      </c>
      <c r="AR251" s="525">
        <f t="shared" si="275"/>
        <v>0</v>
      </c>
      <c r="AS251" s="525">
        <f t="shared" si="275"/>
        <v>0</v>
      </c>
      <c r="AT251" s="526"/>
      <c r="AU251" s="484">
        <f t="shared" si="234"/>
        <v>0</v>
      </c>
      <c r="AV251" s="484"/>
      <c r="AW251" s="541"/>
      <c r="AX251" s="542"/>
      <c r="BG251" s="488">
        <f t="shared" si="244"/>
        <v>0</v>
      </c>
    </row>
    <row r="252" spans="1:59" s="80" customFormat="1" ht="59.25" customHeight="1">
      <c r="A252" s="556" t="s">
        <v>35</v>
      </c>
      <c r="B252" s="557" t="s">
        <v>743</v>
      </c>
      <c r="C252" s="526"/>
      <c r="D252" s="526"/>
      <c r="E252" s="526"/>
      <c r="F252" s="526"/>
      <c r="G252" s="526"/>
      <c r="H252" s="526"/>
      <c r="I252" s="526"/>
      <c r="J252" s="527"/>
      <c r="K252" s="525">
        <f>K253</f>
        <v>47000</v>
      </c>
      <c r="L252" s="525">
        <f t="shared" si="275"/>
        <v>47000</v>
      </c>
      <c r="M252" s="525">
        <f t="shared" si="275"/>
        <v>21469</v>
      </c>
      <c r="N252" s="525">
        <f t="shared" si="275"/>
        <v>21469</v>
      </c>
      <c r="O252" s="525">
        <f t="shared" si="275"/>
        <v>21469</v>
      </c>
      <c r="P252" s="525">
        <f t="shared" si="275"/>
        <v>21469</v>
      </c>
      <c r="Q252" s="525">
        <f t="shared" si="275"/>
        <v>35360</v>
      </c>
      <c r="R252" s="525">
        <f t="shared" si="275"/>
        <v>35360</v>
      </c>
      <c r="S252" s="525">
        <f t="shared" si="275"/>
        <v>20531</v>
      </c>
      <c r="T252" s="525">
        <f t="shared" si="275"/>
        <v>20531</v>
      </c>
      <c r="U252" s="525">
        <f t="shared" si="275"/>
        <v>0</v>
      </c>
      <c r="V252" s="525">
        <f t="shared" si="275"/>
        <v>0</v>
      </c>
      <c r="W252" s="525">
        <f t="shared" si="275"/>
        <v>30907</v>
      </c>
      <c r="X252" s="525">
        <f t="shared" si="275"/>
        <v>13891</v>
      </c>
      <c r="Y252" s="525">
        <f t="shared" si="275"/>
        <v>13891</v>
      </c>
      <c r="Z252" s="525">
        <f t="shared" si="275"/>
        <v>0</v>
      </c>
      <c r="AA252" s="525">
        <f t="shared" si="275"/>
        <v>0</v>
      </c>
      <c r="AB252" s="525">
        <f t="shared" si="275"/>
        <v>5000</v>
      </c>
      <c r="AC252" s="525">
        <f t="shared" si="275"/>
        <v>5000</v>
      </c>
      <c r="AD252" s="525">
        <f t="shared" si="275"/>
        <v>0</v>
      </c>
      <c r="AE252" s="525">
        <f t="shared" si="275"/>
        <v>0</v>
      </c>
      <c r="AF252" s="525">
        <f t="shared" si="275"/>
        <v>0</v>
      </c>
      <c r="AG252" s="525">
        <f t="shared" si="275"/>
        <v>4000</v>
      </c>
      <c r="AH252" s="525">
        <f t="shared" si="275"/>
        <v>18891</v>
      </c>
      <c r="AI252" s="525">
        <f t="shared" si="275"/>
        <v>18891</v>
      </c>
      <c r="AJ252" s="525"/>
      <c r="AK252" s="525"/>
      <c r="AL252" s="525">
        <f t="shared" si="275"/>
        <v>4000</v>
      </c>
      <c r="AM252" s="525">
        <f t="shared" si="275"/>
        <v>4000</v>
      </c>
      <c r="AN252" s="525">
        <f t="shared" si="275"/>
        <v>0</v>
      </c>
      <c r="AO252" s="525">
        <f t="shared" si="275"/>
        <v>0</v>
      </c>
      <c r="AP252" s="525">
        <f t="shared" si="275"/>
        <v>4000</v>
      </c>
      <c r="AQ252" s="525">
        <f t="shared" si="275"/>
        <v>4000</v>
      </c>
      <c r="AR252" s="525">
        <f t="shared" si="275"/>
        <v>0</v>
      </c>
      <c r="AS252" s="525">
        <f t="shared" si="275"/>
        <v>0</v>
      </c>
      <c r="AT252" s="526"/>
      <c r="AU252" s="484">
        <f t="shared" si="234"/>
        <v>0</v>
      </c>
      <c r="AV252" s="484"/>
      <c r="AW252" s="541"/>
      <c r="AX252" s="542"/>
      <c r="BG252" s="488">
        <f t="shared" si="244"/>
        <v>0</v>
      </c>
    </row>
    <row r="253" spans="1:59" s="82" customFormat="1" ht="106.5" customHeight="1">
      <c r="A253" s="582">
        <v>1</v>
      </c>
      <c r="B253" s="560" t="s">
        <v>539</v>
      </c>
      <c r="C253" s="494" t="s">
        <v>538</v>
      </c>
      <c r="D253" s="494"/>
      <c r="E253" s="629" t="s">
        <v>997</v>
      </c>
      <c r="F253" s="494"/>
      <c r="G253" s="494"/>
      <c r="H253" s="494"/>
      <c r="I253" s="494" t="s">
        <v>1065</v>
      </c>
      <c r="J253" s="495" t="s">
        <v>1064</v>
      </c>
      <c r="K253" s="496">
        <v>47000</v>
      </c>
      <c r="L253" s="496">
        <v>47000</v>
      </c>
      <c r="M253" s="496">
        <v>21469</v>
      </c>
      <c r="N253" s="496">
        <v>21469</v>
      </c>
      <c r="O253" s="496">
        <v>21469</v>
      </c>
      <c r="P253" s="496">
        <v>21469</v>
      </c>
      <c r="Q253" s="496">
        <f t="shared" si="272"/>
        <v>35360</v>
      </c>
      <c r="R253" s="496">
        <f t="shared" si="273"/>
        <v>35360</v>
      </c>
      <c r="S253" s="496">
        <f>T253</f>
        <v>20531</v>
      </c>
      <c r="T253" s="496">
        <v>20531</v>
      </c>
      <c r="U253" s="496"/>
      <c r="V253" s="496"/>
      <c r="W253" s="496">
        <f>21469+4438+5000</f>
        <v>30907</v>
      </c>
      <c r="X253" s="496">
        <v>13891</v>
      </c>
      <c r="Y253" s="496">
        <v>13891</v>
      </c>
      <c r="Z253" s="496"/>
      <c r="AA253" s="496"/>
      <c r="AB253" s="496">
        <f>AC253</f>
        <v>5000</v>
      </c>
      <c r="AC253" s="496">
        <v>5000</v>
      </c>
      <c r="AD253" s="496"/>
      <c r="AE253" s="496"/>
      <c r="AF253" s="496"/>
      <c r="AG253" s="496">
        <v>4000</v>
      </c>
      <c r="AH253" s="496">
        <f t="shared" si="237"/>
        <v>18891</v>
      </c>
      <c r="AI253" s="496">
        <f>Y253+AC253</f>
        <v>18891</v>
      </c>
      <c r="AJ253" s="496"/>
      <c r="AK253" s="496"/>
      <c r="AL253" s="496">
        <f t="shared" si="239"/>
        <v>4000</v>
      </c>
      <c r="AM253" s="496">
        <f t="shared" si="240"/>
        <v>4000</v>
      </c>
      <c r="AN253" s="496">
        <f t="shared" si="241"/>
        <v>0</v>
      </c>
      <c r="AO253" s="496">
        <f t="shared" si="242"/>
        <v>0</v>
      </c>
      <c r="AP253" s="496">
        <f>AQ253</f>
        <v>4000</v>
      </c>
      <c r="AQ253" s="496">
        <v>4000</v>
      </c>
      <c r="AR253" s="496"/>
      <c r="AS253" s="496"/>
      <c r="AT253" s="536" t="s">
        <v>786</v>
      </c>
      <c r="AU253" s="484">
        <f t="shared" si="234"/>
        <v>0</v>
      </c>
      <c r="AV253" s="484">
        <f t="shared" si="259"/>
        <v>0</v>
      </c>
      <c r="AW253" s="536"/>
      <c r="AX253" s="548">
        <f>T253</f>
        <v>20531</v>
      </c>
      <c r="AY253" s="82">
        <f>T253-AX253</f>
        <v>0</v>
      </c>
      <c r="BD253" s="82">
        <v>1</v>
      </c>
      <c r="BE253" s="82">
        <v>1</v>
      </c>
      <c r="BF253" s="82">
        <f>AQ253</f>
        <v>4000</v>
      </c>
      <c r="BG253" s="488">
        <f t="shared" si="244"/>
        <v>0</v>
      </c>
    </row>
    <row r="254" spans="1:59" s="80" customFormat="1" ht="59.25" customHeight="1">
      <c r="A254" s="478" t="s">
        <v>46</v>
      </c>
      <c r="B254" s="539" t="s">
        <v>288</v>
      </c>
      <c r="C254" s="526"/>
      <c r="D254" s="526"/>
      <c r="E254" s="526"/>
      <c r="F254" s="526"/>
      <c r="G254" s="526"/>
      <c r="H254" s="526"/>
      <c r="I254" s="526"/>
      <c r="J254" s="527"/>
      <c r="K254" s="525">
        <f>K255</f>
        <v>116720</v>
      </c>
      <c r="L254" s="525">
        <f t="shared" ref="L254:AS254" si="276">L255</f>
        <v>80727</v>
      </c>
      <c r="M254" s="525">
        <f t="shared" si="276"/>
        <v>7500</v>
      </c>
      <c r="N254" s="525">
        <f t="shared" si="276"/>
        <v>0</v>
      </c>
      <c r="O254" s="525">
        <f t="shared" si="276"/>
        <v>3741</v>
      </c>
      <c r="P254" s="525">
        <f t="shared" si="276"/>
        <v>0</v>
      </c>
      <c r="Q254" s="525">
        <f t="shared" si="276"/>
        <v>8469</v>
      </c>
      <c r="R254" s="525">
        <f t="shared" si="276"/>
        <v>969</v>
      </c>
      <c r="S254" s="525">
        <f t="shared" si="276"/>
        <v>104288.1</v>
      </c>
      <c r="T254" s="525">
        <f t="shared" si="276"/>
        <v>76394.100000000006</v>
      </c>
      <c r="U254" s="525">
        <f t="shared" si="276"/>
        <v>0</v>
      </c>
      <c r="V254" s="525">
        <f t="shared" si="276"/>
        <v>0</v>
      </c>
      <c r="W254" s="525">
        <f t="shared" si="276"/>
        <v>28887</v>
      </c>
      <c r="X254" s="525">
        <f t="shared" si="276"/>
        <v>969</v>
      </c>
      <c r="Y254" s="525">
        <f t="shared" si="276"/>
        <v>969</v>
      </c>
      <c r="Z254" s="525">
        <f t="shared" si="276"/>
        <v>0</v>
      </c>
      <c r="AA254" s="525">
        <f t="shared" si="276"/>
        <v>0</v>
      </c>
      <c r="AB254" s="525">
        <f t="shared" si="276"/>
        <v>28922</v>
      </c>
      <c r="AC254" s="525">
        <f t="shared" si="276"/>
        <v>21922</v>
      </c>
      <c r="AD254" s="525">
        <f t="shared" si="276"/>
        <v>0</v>
      </c>
      <c r="AE254" s="525">
        <f t="shared" si="276"/>
        <v>0</v>
      </c>
      <c r="AF254" s="525">
        <f t="shared" si="276"/>
        <v>1387.4349999999999</v>
      </c>
      <c r="AG254" s="525">
        <f t="shared" si="276"/>
        <v>9172.4349999999995</v>
      </c>
      <c r="AH254" s="525">
        <f t="shared" si="276"/>
        <v>29891</v>
      </c>
      <c r="AI254" s="525">
        <f t="shared" si="276"/>
        <v>22891</v>
      </c>
      <c r="AJ254" s="525"/>
      <c r="AK254" s="525"/>
      <c r="AL254" s="525">
        <f t="shared" si="276"/>
        <v>17469</v>
      </c>
      <c r="AM254" s="525">
        <f t="shared" si="276"/>
        <v>17469</v>
      </c>
      <c r="AN254" s="525">
        <f t="shared" si="276"/>
        <v>1000</v>
      </c>
      <c r="AO254" s="525">
        <f t="shared" si="276"/>
        <v>0</v>
      </c>
      <c r="AP254" s="525">
        <f t="shared" si="276"/>
        <v>17469</v>
      </c>
      <c r="AQ254" s="525">
        <f t="shared" si="276"/>
        <v>17469</v>
      </c>
      <c r="AR254" s="525">
        <f t="shared" si="276"/>
        <v>1000</v>
      </c>
      <c r="AS254" s="525">
        <f t="shared" si="276"/>
        <v>0</v>
      </c>
      <c r="AT254" s="503"/>
      <c r="AU254" s="484">
        <f t="shared" si="234"/>
        <v>0</v>
      </c>
      <c r="AV254" s="501"/>
      <c r="AW254" s="562"/>
      <c r="AX254" s="542"/>
      <c r="BG254" s="488">
        <f t="shared" si="244"/>
        <v>0</v>
      </c>
    </row>
    <row r="255" spans="1:59" s="80" customFormat="1" ht="59.25" customHeight="1">
      <c r="A255" s="556" t="s">
        <v>35</v>
      </c>
      <c r="B255" s="557" t="s">
        <v>743</v>
      </c>
      <c r="C255" s="526"/>
      <c r="D255" s="526"/>
      <c r="E255" s="526"/>
      <c r="F255" s="526"/>
      <c r="G255" s="526"/>
      <c r="H255" s="526"/>
      <c r="I255" s="526"/>
      <c r="J255" s="527"/>
      <c r="K255" s="525">
        <f>SUM(K256:K263)</f>
        <v>116720</v>
      </c>
      <c r="L255" s="525">
        <f t="shared" ref="L255:AS255" si="277">SUM(L256:L263)</f>
        <v>80727</v>
      </c>
      <c r="M255" s="525">
        <f t="shared" si="277"/>
        <v>7500</v>
      </c>
      <c r="N255" s="525">
        <f t="shared" si="277"/>
        <v>0</v>
      </c>
      <c r="O255" s="525">
        <f t="shared" si="277"/>
        <v>3741</v>
      </c>
      <c r="P255" s="525">
        <f t="shared" si="277"/>
        <v>0</v>
      </c>
      <c r="Q255" s="525">
        <f t="shared" si="277"/>
        <v>8469</v>
      </c>
      <c r="R255" s="525">
        <f t="shared" si="277"/>
        <v>969</v>
      </c>
      <c r="S255" s="525">
        <f t="shared" si="277"/>
        <v>104288.1</v>
      </c>
      <c r="T255" s="525">
        <f t="shared" si="277"/>
        <v>76394.100000000006</v>
      </c>
      <c r="U255" s="525">
        <f t="shared" si="277"/>
        <v>0</v>
      </c>
      <c r="V255" s="525">
        <f t="shared" si="277"/>
        <v>0</v>
      </c>
      <c r="W255" s="525">
        <f t="shared" si="277"/>
        <v>28887</v>
      </c>
      <c r="X255" s="525">
        <f t="shared" si="277"/>
        <v>969</v>
      </c>
      <c r="Y255" s="525">
        <f t="shared" si="277"/>
        <v>969</v>
      </c>
      <c r="Z255" s="525">
        <f t="shared" si="277"/>
        <v>0</v>
      </c>
      <c r="AA255" s="525">
        <f t="shared" si="277"/>
        <v>0</v>
      </c>
      <c r="AB255" s="525">
        <f t="shared" si="277"/>
        <v>28922</v>
      </c>
      <c r="AC255" s="525">
        <f t="shared" si="277"/>
        <v>21922</v>
      </c>
      <c r="AD255" s="525">
        <f t="shared" si="277"/>
        <v>0</v>
      </c>
      <c r="AE255" s="525">
        <f t="shared" si="277"/>
        <v>0</v>
      </c>
      <c r="AF255" s="525">
        <f t="shared" si="277"/>
        <v>1387.4349999999999</v>
      </c>
      <c r="AG255" s="525">
        <f t="shared" si="277"/>
        <v>9172.4349999999995</v>
      </c>
      <c r="AH255" s="525">
        <f t="shared" si="277"/>
        <v>29891</v>
      </c>
      <c r="AI255" s="525">
        <f t="shared" si="277"/>
        <v>22891</v>
      </c>
      <c r="AJ255" s="525">
        <f t="shared" si="277"/>
        <v>0</v>
      </c>
      <c r="AK255" s="525">
        <f t="shared" si="277"/>
        <v>0</v>
      </c>
      <c r="AL255" s="525">
        <f t="shared" si="277"/>
        <v>17469</v>
      </c>
      <c r="AM255" s="525">
        <f t="shared" si="277"/>
        <v>17469</v>
      </c>
      <c r="AN255" s="525">
        <f t="shared" si="277"/>
        <v>1000</v>
      </c>
      <c r="AO255" s="525">
        <f t="shared" si="277"/>
        <v>0</v>
      </c>
      <c r="AP255" s="525">
        <f t="shared" si="277"/>
        <v>17469</v>
      </c>
      <c r="AQ255" s="525">
        <f t="shared" si="277"/>
        <v>17469</v>
      </c>
      <c r="AR255" s="525">
        <f t="shared" si="277"/>
        <v>1000</v>
      </c>
      <c r="AS255" s="525">
        <f t="shared" si="277"/>
        <v>0</v>
      </c>
      <c r="AT255" s="503"/>
      <c r="AU255" s="484">
        <f t="shared" si="234"/>
        <v>0</v>
      </c>
      <c r="AV255" s="501"/>
      <c r="AW255" s="562"/>
      <c r="AX255" s="542"/>
      <c r="BG255" s="488">
        <f t="shared" si="244"/>
        <v>0</v>
      </c>
    </row>
    <row r="256" spans="1:59" s="82" customFormat="1" ht="59.25" customHeight="1">
      <c r="A256" s="582">
        <v>1</v>
      </c>
      <c r="B256" s="611" t="s">
        <v>540</v>
      </c>
      <c r="C256" s="566" t="s">
        <v>541</v>
      </c>
      <c r="D256" s="566"/>
      <c r="E256" s="629" t="s">
        <v>997</v>
      </c>
      <c r="F256" s="566"/>
      <c r="G256" s="566"/>
      <c r="H256" s="566" t="s">
        <v>542</v>
      </c>
      <c r="I256" s="566" t="s">
        <v>446</v>
      </c>
      <c r="J256" s="563" t="s">
        <v>543</v>
      </c>
      <c r="K256" s="496">
        <v>39992</v>
      </c>
      <c r="L256" s="579">
        <f>K256-35993</f>
        <v>3999</v>
      </c>
      <c r="M256" s="496">
        <v>7500</v>
      </c>
      <c r="N256" s="496"/>
      <c r="O256" s="579">
        <f>2808+933</f>
        <v>3741</v>
      </c>
      <c r="P256" s="579"/>
      <c r="Q256" s="496">
        <f>M256+X256</f>
        <v>7500</v>
      </c>
      <c r="R256" s="496">
        <f>N256+Y256</f>
        <v>0</v>
      </c>
      <c r="S256" s="496">
        <f>27894+T256</f>
        <v>31493.1</v>
      </c>
      <c r="T256" s="496">
        <f>L256/100*90</f>
        <v>3599.1000000000004</v>
      </c>
      <c r="U256" s="496"/>
      <c r="V256" s="496"/>
      <c r="W256" s="496">
        <v>7000</v>
      </c>
      <c r="X256" s="496"/>
      <c r="Y256" s="496"/>
      <c r="Z256" s="496"/>
      <c r="AA256" s="496"/>
      <c r="AB256" s="496">
        <v>7000</v>
      </c>
      <c r="AC256" s="496"/>
      <c r="AD256" s="496"/>
      <c r="AE256" s="496"/>
      <c r="AF256" s="496"/>
      <c r="AG256" s="496"/>
      <c r="AH256" s="496">
        <f>X256+AB256</f>
        <v>7000</v>
      </c>
      <c r="AI256" s="496">
        <f>Y256+AC256</f>
        <v>0</v>
      </c>
      <c r="AJ256" s="496"/>
      <c r="AK256" s="496"/>
      <c r="AL256" s="496">
        <f>AP256</f>
        <v>1000</v>
      </c>
      <c r="AM256" s="496">
        <f>AQ256</f>
        <v>1000</v>
      </c>
      <c r="AN256" s="496">
        <f>AR256</f>
        <v>1000</v>
      </c>
      <c r="AO256" s="496">
        <f>AS256</f>
        <v>0</v>
      </c>
      <c r="AP256" s="496">
        <v>1000</v>
      </c>
      <c r="AQ256" s="496">
        <f>AP256</f>
        <v>1000</v>
      </c>
      <c r="AR256" s="496">
        <f>AQ256</f>
        <v>1000</v>
      </c>
      <c r="AS256" s="496"/>
      <c r="AT256" s="536" t="s">
        <v>1039</v>
      </c>
      <c r="AU256" s="484">
        <f t="shared" si="234"/>
        <v>0</v>
      </c>
      <c r="AV256" s="484">
        <f>V256-AA256</f>
        <v>0</v>
      </c>
      <c r="AW256" s="536"/>
      <c r="AX256" s="548"/>
      <c r="BG256" s="488">
        <f t="shared" si="244"/>
        <v>0</v>
      </c>
    </row>
    <row r="257" spans="1:59" s="510" customFormat="1" ht="59.25" customHeight="1">
      <c r="A257" s="582">
        <v>2</v>
      </c>
      <c r="B257" s="565" t="s">
        <v>544</v>
      </c>
      <c r="C257" s="494" t="s">
        <v>538</v>
      </c>
      <c r="D257" s="494"/>
      <c r="E257" s="629" t="s">
        <v>997</v>
      </c>
      <c r="F257" s="494"/>
      <c r="G257" s="494"/>
      <c r="H257" s="503"/>
      <c r="I257" s="566" t="s">
        <v>811</v>
      </c>
      <c r="J257" s="495" t="s">
        <v>545</v>
      </c>
      <c r="K257" s="496">
        <v>7320</v>
      </c>
      <c r="L257" s="496">
        <v>7320</v>
      </c>
      <c r="M257" s="496"/>
      <c r="N257" s="496"/>
      <c r="O257" s="496"/>
      <c r="P257" s="496"/>
      <c r="Q257" s="496">
        <f t="shared" si="272"/>
        <v>98</v>
      </c>
      <c r="R257" s="496">
        <f t="shared" si="273"/>
        <v>98</v>
      </c>
      <c r="S257" s="496">
        <f>T257</f>
        <v>7320</v>
      </c>
      <c r="T257" s="496">
        <v>7320</v>
      </c>
      <c r="U257" s="496"/>
      <c r="V257" s="496"/>
      <c r="W257" s="496">
        <f>98+2000</f>
        <v>2098</v>
      </c>
      <c r="X257" s="496">
        <v>98</v>
      </c>
      <c r="Y257" s="496">
        <v>98</v>
      </c>
      <c r="Z257" s="496"/>
      <c r="AA257" s="496"/>
      <c r="AB257" s="496">
        <v>2000</v>
      </c>
      <c r="AC257" s="496">
        <v>2000</v>
      </c>
      <c r="AD257" s="496"/>
      <c r="AE257" s="496"/>
      <c r="AF257" s="496"/>
      <c r="AG257" s="496"/>
      <c r="AH257" s="496">
        <f t="shared" ref="AH257:AH309" si="278">X257+AB257</f>
        <v>2098</v>
      </c>
      <c r="AI257" s="496">
        <f t="shared" ref="AI257:AI309" si="279">Y257+AC257</f>
        <v>2098</v>
      </c>
      <c r="AJ257" s="496"/>
      <c r="AK257" s="496"/>
      <c r="AL257" s="496">
        <f t="shared" si="239"/>
        <v>1600</v>
      </c>
      <c r="AM257" s="496">
        <f t="shared" si="240"/>
        <v>1600</v>
      </c>
      <c r="AN257" s="496">
        <f t="shared" si="241"/>
        <v>0</v>
      </c>
      <c r="AO257" s="496">
        <f t="shared" si="242"/>
        <v>0</v>
      </c>
      <c r="AP257" s="496">
        <f t="shared" ref="AP257:AP263" si="280">AQ257</f>
        <v>1600</v>
      </c>
      <c r="AQ257" s="496">
        <v>1600</v>
      </c>
      <c r="AR257" s="496"/>
      <c r="AS257" s="496"/>
      <c r="AT257" s="494"/>
      <c r="AU257" s="484">
        <f t="shared" si="234"/>
        <v>0</v>
      </c>
      <c r="AV257" s="484">
        <f t="shared" si="259"/>
        <v>0</v>
      </c>
      <c r="AW257" s="562"/>
      <c r="AX257" s="572"/>
      <c r="BG257" s="488">
        <f t="shared" si="244"/>
        <v>0</v>
      </c>
    </row>
    <row r="258" spans="1:59" s="510" customFormat="1" ht="59.25" customHeight="1">
      <c r="A258" s="582">
        <v>3</v>
      </c>
      <c r="B258" s="565" t="s">
        <v>961</v>
      </c>
      <c r="C258" s="494" t="s">
        <v>538</v>
      </c>
      <c r="D258" s="494"/>
      <c r="E258" s="629" t="s">
        <v>997</v>
      </c>
      <c r="F258" s="494"/>
      <c r="G258" s="494"/>
      <c r="H258" s="503"/>
      <c r="I258" s="566" t="s">
        <v>951</v>
      </c>
      <c r="J258" s="495" t="s">
        <v>546</v>
      </c>
      <c r="K258" s="520">
        <v>6728</v>
      </c>
      <c r="L258" s="520">
        <v>6728</v>
      </c>
      <c r="M258" s="496"/>
      <c r="N258" s="496"/>
      <c r="O258" s="496"/>
      <c r="P258" s="496"/>
      <c r="Q258" s="496">
        <f t="shared" si="272"/>
        <v>104</v>
      </c>
      <c r="R258" s="496">
        <f t="shared" si="273"/>
        <v>104</v>
      </c>
      <c r="S258" s="496">
        <f>T258</f>
        <v>6728</v>
      </c>
      <c r="T258" s="496">
        <v>6728</v>
      </c>
      <c r="U258" s="496"/>
      <c r="V258" s="496"/>
      <c r="W258" s="496">
        <f>104+2000</f>
        <v>2104</v>
      </c>
      <c r="X258" s="496">
        <v>104</v>
      </c>
      <c r="Y258" s="496">
        <v>104</v>
      </c>
      <c r="Z258" s="496"/>
      <c r="AA258" s="496"/>
      <c r="AB258" s="496">
        <v>2000</v>
      </c>
      <c r="AC258" s="496">
        <v>2000</v>
      </c>
      <c r="AD258" s="496"/>
      <c r="AE258" s="496"/>
      <c r="AF258" s="496"/>
      <c r="AG258" s="496"/>
      <c r="AH258" s="496">
        <f t="shared" si="278"/>
        <v>2104</v>
      </c>
      <c r="AI258" s="496">
        <f t="shared" si="279"/>
        <v>2104</v>
      </c>
      <c r="AJ258" s="496"/>
      <c r="AK258" s="496"/>
      <c r="AL258" s="496">
        <f t="shared" si="239"/>
        <v>1900</v>
      </c>
      <c r="AM258" s="496">
        <f t="shared" si="240"/>
        <v>1900</v>
      </c>
      <c r="AN258" s="496">
        <f t="shared" si="241"/>
        <v>0</v>
      </c>
      <c r="AO258" s="496">
        <f t="shared" si="242"/>
        <v>0</v>
      </c>
      <c r="AP258" s="496">
        <f t="shared" si="280"/>
        <v>1900</v>
      </c>
      <c r="AQ258" s="496">
        <v>1900</v>
      </c>
      <c r="AR258" s="496"/>
      <c r="AS258" s="496"/>
      <c r="AT258" s="494"/>
      <c r="AU258" s="484">
        <f t="shared" si="234"/>
        <v>0</v>
      </c>
      <c r="AV258" s="484">
        <f t="shared" si="259"/>
        <v>0</v>
      </c>
      <c r="AW258" s="562"/>
      <c r="AX258" s="572"/>
      <c r="BG258" s="488">
        <f t="shared" si="244"/>
        <v>0</v>
      </c>
    </row>
    <row r="259" spans="1:59" s="510" customFormat="1" ht="59.25" customHeight="1">
      <c r="A259" s="582">
        <v>4</v>
      </c>
      <c r="B259" s="565" t="s">
        <v>547</v>
      </c>
      <c r="C259" s="494" t="s">
        <v>538</v>
      </c>
      <c r="D259" s="494"/>
      <c r="E259" s="629" t="s">
        <v>997</v>
      </c>
      <c r="F259" s="494"/>
      <c r="G259" s="494"/>
      <c r="H259" s="503"/>
      <c r="I259" s="503"/>
      <c r="J259" s="495" t="s">
        <v>548</v>
      </c>
      <c r="K259" s="496">
        <v>7000</v>
      </c>
      <c r="L259" s="496">
        <v>7000</v>
      </c>
      <c r="M259" s="496"/>
      <c r="N259" s="496"/>
      <c r="O259" s="496"/>
      <c r="P259" s="496"/>
      <c r="Q259" s="496">
        <f t="shared" si="272"/>
        <v>91</v>
      </c>
      <c r="R259" s="496">
        <f t="shared" si="273"/>
        <v>91</v>
      </c>
      <c r="S259" s="496">
        <v>6300</v>
      </c>
      <c r="T259" s="496">
        <v>6300</v>
      </c>
      <c r="U259" s="496"/>
      <c r="V259" s="496"/>
      <c r="W259" s="496">
        <f>91+2000</f>
        <v>2091</v>
      </c>
      <c r="X259" s="496">
        <v>91</v>
      </c>
      <c r="Y259" s="496">
        <v>91</v>
      </c>
      <c r="Z259" s="496"/>
      <c r="AA259" s="496"/>
      <c r="AB259" s="496">
        <v>2000</v>
      </c>
      <c r="AC259" s="496">
        <v>2000</v>
      </c>
      <c r="AD259" s="496"/>
      <c r="AE259" s="496"/>
      <c r="AF259" s="496"/>
      <c r="AG259" s="496"/>
      <c r="AH259" s="496">
        <f t="shared" si="278"/>
        <v>2091</v>
      </c>
      <c r="AI259" s="496">
        <f t="shared" si="279"/>
        <v>2091</v>
      </c>
      <c r="AJ259" s="496"/>
      <c r="AK259" s="496"/>
      <c r="AL259" s="496">
        <f t="shared" si="239"/>
        <v>1500</v>
      </c>
      <c r="AM259" s="496">
        <f t="shared" si="240"/>
        <v>1500</v>
      </c>
      <c r="AN259" s="496">
        <f t="shared" si="241"/>
        <v>0</v>
      </c>
      <c r="AO259" s="496">
        <f t="shared" si="242"/>
        <v>0</v>
      </c>
      <c r="AP259" s="496">
        <f t="shared" si="280"/>
        <v>1500</v>
      </c>
      <c r="AQ259" s="496">
        <v>1500</v>
      </c>
      <c r="AR259" s="496"/>
      <c r="AS259" s="496"/>
      <c r="AT259" s="494"/>
      <c r="AU259" s="484">
        <f t="shared" si="234"/>
        <v>0</v>
      </c>
      <c r="AV259" s="484">
        <f t="shared" si="259"/>
        <v>0</v>
      </c>
      <c r="AW259" s="562"/>
      <c r="AX259" s="572"/>
      <c r="BG259" s="488">
        <f t="shared" si="244"/>
        <v>0</v>
      </c>
    </row>
    <row r="260" spans="1:59" s="510" customFormat="1" ht="59.25" customHeight="1">
      <c r="A260" s="582">
        <v>5</v>
      </c>
      <c r="B260" s="565" t="s">
        <v>549</v>
      </c>
      <c r="C260" s="494" t="s">
        <v>538</v>
      </c>
      <c r="D260" s="494"/>
      <c r="E260" s="629" t="s">
        <v>997</v>
      </c>
      <c r="F260" s="494"/>
      <c r="G260" s="494"/>
      <c r="H260" s="503"/>
      <c r="I260" s="503"/>
      <c r="J260" s="495" t="s">
        <v>550</v>
      </c>
      <c r="K260" s="496">
        <v>6350</v>
      </c>
      <c r="L260" s="496">
        <v>6350</v>
      </c>
      <c r="M260" s="496"/>
      <c r="N260" s="496"/>
      <c r="O260" s="496"/>
      <c r="P260" s="496"/>
      <c r="Q260" s="496">
        <f t="shared" si="272"/>
        <v>91</v>
      </c>
      <c r="R260" s="496">
        <f t="shared" si="273"/>
        <v>91</v>
      </c>
      <c r="S260" s="496">
        <f>T260</f>
        <v>6350</v>
      </c>
      <c r="T260" s="496">
        <v>6350</v>
      </c>
      <c r="U260" s="496"/>
      <c r="V260" s="496"/>
      <c r="W260" s="496">
        <f>91+2000</f>
        <v>2091</v>
      </c>
      <c r="X260" s="496">
        <v>91</v>
      </c>
      <c r="Y260" s="496">
        <v>91</v>
      </c>
      <c r="Z260" s="496"/>
      <c r="AA260" s="496"/>
      <c r="AB260" s="520">
        <v>2000</v>
      </c>
      <c r="AC260" s="520">
        <v>2000</v>
      </c>
      <c r="AD260" s="496"/>
      <c r="AE260" s="496"/>
      <c r="AF260" s="496"/>
      <c r="AG260" s="496"/>
      <c r="AH260" s="496">
        <f t="shared" si="278"/>
        <v>2091</v>
      </c>
      <c r="AI260" s="496">
        <f t="shared" si="279"/>
        <v>2091</v>
      </c>
      <c r="AJ260" s="496"/>
      <c r="AK260" s="496"/>
      <c r="AL260" s="496">
        <f t="shared" si="239"/>
        <v>1350</v>
      </c>
      <c r="AM260" s="496">
        <f t="shared" si="240"/>
        <v>1350</v>
      </c>
      <c r="AN260" s="496">
        <f t="shared" si="241"/>
        <v>0</v>
      </c>
      <c r="AO260" s="496">
        <f t="shared" si="242"/>
        <v>0</v>
      </c>
      <c r="AP260" s="496">
        <f t="shared" si="280"/>
        <v>1350</v>
      </c>
      <c r="AQ260" s="496">
        <v>1350</v>
      </c>
      <c r="AR260" s="496"/>
      <c r="AS260" s="496"/>
      <c r="AT260" s="494"/>
      <c r="AU260" s="484">
        <f t="shared" si="234"/>
        <v>0</v>
      </c>
      <c r="AV260" s="484">
        <f t="shared" si="259"/>
        <v>0</v>
      </c>
      <c r="AW260" s="562"/>
      <c r="AX260" s="572"/>
      <c r="BG260" s="488">
        <f t="shared" si="244"/>
        <v>0</v>
      </c>
    </row>
    <row r="261" spans="1:59" s="82" customFormat="1" ht="59.25" customHeight="1">
      <c r="A261" s="582">
        <v>6</v>
      </c>
      <c r="B261" s="565" t="s">
        <v>551</v>
      </c>
      <c r="C261" s="494" t="s">
        <v>538</v>
      </c>
      <c r="D261" s="494"/>
      <c r="E261" s="629" t="s">
        <v>997</v>
      </c>
      <c r="F261" s="494"/>
      <c r="G261" s="494"/>
      <c r="H261" s="494"/>
      <c r="I261" s="494"/>
      <c r="J261" s="563" t="s">
        <v>552</v>
      </c>
      <c r="K261" s="496">
        <v>7000</v>
      </c>
      <c r="L261" s="496">
        <v>7000</v>
      </c>
      <c r="M261" s="496"/>
      <c r="N261" s="496"/>
      <c r="O261" s="496"/>
      <c r="P261" s="496"/>
      <c r="Q261" s="496">
        <f t="shared" si="272"/>
        <v>0</v>
      </c>
      <c r="R261" s="496">
        <f t="shared" si="273"/>
        <v>0</v>
      </c>
      <c r="S261" s="496">
        <f>T261</f>
        <v>7000</v>
      </c>
      <c r="T261" s="496">
        <v>7000</v>
      </c>
      <c r="U261" s="496"/>
      <c r="V261" s="496"/>
      <c r="W261" s="496">
        <v>2000</v>
      </c>
      <c r="X261" s="496"/>
      <c r="Y261" s="496"/>
      <c r="Z261" s="496"/>
      <c r="AA261" s="496"/>
      <c r="AB261" s="520">
        <v>2000</v>
      </c>
      <c r="AC261" s="520">
        <v>2000</v>
      </c>
      <c r="AD261" s="496"/>
      <c r="AE261" s="496"/>
      <c r="AF261" s="496"/>
      <c r="AG261" s="496"/>
      <c r="AH261" s="496">
        <f t="shared" si="278"/>
        <v>2000</v>
      </c>
      <c r="AI261" s="496">
        <f t="shared" si="279"/>
        <v>2000</v>
      </c>
      <c r="AJ261" s="496"/>
      <c r="AK261" s="496"/>
      <c r="AL261" s="496">
        <f t="shared" si="239"/>
        <v>2000</v>
      </c>
      <c r="AM261" s="496">
        <f t="shared" si="240"/>
        <v>2000</v>
      </c>
      <c r="AN261" s="496">
        <f t="shared" si="241"/>
        <v>0</v>
      </c>
      <c r="AO261" s="496">
        <f t="shared" si="242"/>
        <v>0</v>
      </c>
      <c r="AP261" s="496">
        <f t="shared" si="280"/>
        <v>2000</v>
      </c>
      <c r="AQ261" s="496">
        <v>2000</v>
      </c>
      <c r="AR261" s="496"/>
      <c r="AS261" s="496"/>
      <c r="AT261" s="494"/>
      <c r="AU261" s="484">
        <f t="shared" si="234"/>
        <v>0</v>
      </c>
      <c r="AV261" s="484">
        <f t="shared" si="259"/>
        <v>0</v>
      </c>
      <c r="AW261" s="521"/>
      <c r="AX261" s="548"/>
      <c r="BG261" s="488">
        <f t="shared" si="244"/>
        <v>0</v>
      </c>
    </row>
    <row r="262" spans="1:59" s="510" customFormat="1" ht="62.25" customHeight="1">
      <c r="A262" s="582">
        <v>7</v>
      </c>
      <c r="B262" s="599" t="s">
        <v>553</v>
      </c>
      <c r="C262" s="494" t="s">
        <v>538</v>
      </c>
      <c r="D262" s="494"/>
      <c r="E262" s="629" t="s">
        <v>997</v>
      </c>
      <c r="F262" s="494"/>
      <c r="G262" s="494"/>
      <c r="H262" s="503"/>
      <c r="I262" s="503"/>
      <c r="J262" s="563" t="s">
        <v>554</v>
      </c>
      <c r="K262" s="496">
        <v>10000</v>
      </c>
      <c r="L262" s="496">
        <v>10000</v>
      </c>
      <c r="M262" s="496"/>
      <c r="N262" s="496"/>
      <c r="O262" s="496"/>
      <c r="P262" s="496"/>
      <c r="Q262" s="496">
        <f t="shared" si="272"/>
        <v>130</v>
      </c>
      <c r="R262" s="496">
        <f t="shared" si="273"/>
        <v>130</v>
      </c>
      <c r="S262" s="496">
        <f>T262</f>
        <v>10000</v>
      </c>
      <c r="T262" s="496">
        <v>10000</v>
      </c>
      <c r="U262" s="496"/>
      <c r="V262" s="496"/>
      <c r="W262" s="496">
        <f>1996+130</f>
        <v>2126</v>
      </c>
      <c r="X262" s="496">
        <v>130</v>
      </c>
      <c r="Y262" s="496">
        <v>130</v>
      </c>
      <c r="Z262" s="496"/>
      <c r="AA262" s="496"/>
      <c r="AB262" s="496">
        <v>3000</v>
      </c>
      <c r="AC262" s="496">
        <v>3000</v>
      </c>
      <c r="AD262" s="496"/>
      <c r="AE262" s="496"/>
      <c r="AF262" s="520">
        <v>250.435</v>
      </c>
      <c r="AG262" s="520">
        <v>250.435</v>
      </c>
      <c r="AH262" s="496">
        <f t="shared" si="278"/>
        <v>3130</v>
      </c>
      <c r="AI262" s="496">
        <f t="shared" si="279"/>
        <v>3130</v>
      </c>
      <c r="AJ262" s="496"/>
      <c r="AK262" s="496"/>
      <c r="AL262" s="496">
        <f t="shared" si="239"/>
        <v>2500</v>
      </c>
      <c r="AM262" s="496">
        <f t="shared" si="240"/>
        <v>2500</v>
      </c>
      <c r="AN262" s="496">
        <f t="shared" si="241"/>
        <v>0</v>
      </c>
      <c r="AO262" s="496">
        <f t="shared" si="242"/>
        <v>0</v>
      </c>
      <c r="AP262" s="496">
        <f t="shared" si="280"/>
        <v>2500</v>
      </c>
      <c r="AQ262" s="496">
        <v>2500</v>
      </c>
      <c r="AR262" s="496"/>
      <c r="AS262" s="496"/>
      <c r="AT262" s="494"/>
      <c r="AU262" s="484">
        <f t="shared" si="234"/>
        <v>0</v>
      </c>
      <c r="AV262" s="484">
        <f t="shared" si="259"/>
        <v>0</v>
      </c>
      <c r="AW262" s="562"/>
      <c r="AX262" s="572"/>
      <c r="BG262" s="488">
        <f t="shared" si="244"/>
        <v>0</v>
      </c>
    </row>
    <row r="263" spans="1:59" s="510" customFormat="1" ht="59.25" customHeight="1">
      <c r="A263" s="582">
        <v>8</v>
      </c>
      <c r="B263" s="599" t="s">
        <v>555</v>
      </c>
      <c r="C263" s="494" t="s">
        <v>538</v>
      </c>
      <c r="D263" s="494"/>
      <c r="E263" s="629" t="s">
        <v>997</v>
      </c>
      <c r="F263" s="494"/>
      <c r="G263" s="494"/>
      <c r="H263" s="503"/>
      <c r="I263" s="494" t="s">
        <v>811</v>
      </c>
      <c r="J263" s="563" t="s">
        <v>556</v>
      </c>
      <c r="K263" s="496">
        <v>32330</v>
      </c>
      <c r="L263" s="496">
        <v>32330</v>
      </c>
      <c r="M263" s="496"/>
      <c r="N263" s="496"/>
      <c r="O263" s="496"/>
      <c r="P263" s="496"/>
      <c r="Q263" s="496">
        <f t="shared" si="272"/>
        <v>455</v>
      </c>
      <c r="R263" s="496">
        <f t="shared" si="273"/>
        <v>455</v>
      </c>
      <c r="S263" s="496">
        <v>29097</v>
      </c>
      <c r="T263" s="496">
        <v>29097</v>
      </c>
      <c r="U263" s="496"/>
      <c r="V263" s="496"/>
      <c r="W263" s="496">
        <f>455+8922</f>
        <v>9377</v>
      </c>
      <c r="X263" s="496">
        <v>455</v>
      </c>
      <c r="Y263" s="496">
        <v>455</v>
      </c>
      <c r="Z263" s="496"/>
      <c r="AA263" s="496"/>
      <c r="AB263" s="496">
        <v>8922</v>
      </c>
      <c r="AC263" s="496">
        <v>8922</v>
      </c>
      <c r="AD263" s="496"/>
      <c r="AE263" s="496"/>
      <c r="AF263" s="520">
        <v>1137</v>
      </c>
      <c r="AG263" s="520">
        <v>8922</v>
      </c>
      <c r="AH263" s="496">
        <f t="shared" si="278"/>
        <v>9377</v>
      </c>
      <c r="AI263" s="496">
        <f t="shared" si="279"/>
        <v>9377</v>
      </c>
      <c r="AJ263" s="496"/>
      <c r="AK263" s="496"/>
      <c r="AL263" s="496">
        <f t="shared" si="239"/>
        <v>5619</v>
      </c>
      <c r="AM263" s="496">
        <f t="shared" si="240"/>
        <v>5619</v>
      </c>
      <c r="AN263" s="496">
        <f t="shared" si="241"/>
        <v>0</v>
      </c>
      <c r="AO263" s="496">
        <f t="shared" si="242"/>
        <v>0</v>
      </c>
      <c r="AP263" s="496">
        <f t="shared" si="280"/>
        <v>5619</v>
      </c>
      <c r="AQ263" s="496">
        <v>5619</v>
      </c>
      <c r="AR263" s="496"/>
      <c r="AS263" s="496"/>
      <c r="AT263" s="494"/>
      <c r="AU263" s="484">
        <f t="shared" si="234"/>
        <v>0</v>
      </c>
      <c r="AV263" s="484">
        <f t="shared" si="259"/>
        <v>0</v>
      </c>
      <c r="AW263" s="494"/>
      <c r="AX263" s="572"/>
      <c r="BG263" s="488">
        <f t="shared" si="244"/>
        <v>0</v>
      </c>
    </row>
    <row r="264" spans="1:59" s="80" customFormat="1" ht="59.25" customHeight="1">
      <c r="A264" s="478" t="s">
        <v>280</v>
      </c>
      <c r="B264" s="539" t="s">
        <v>289</v>
      </c>
      <c r="C264" s="480"/>
      <c r="D264" s="480"/>
      <c r="E264" s="480"/>
      <c r="F264" s="480"/>
      <c r="G264" s="480"/>
      <c r="H264" s="526"/>
      <c r="I264" s="526"/>
      <c r="J264" s="558"/>
      <c r="K264" s="482">
        <f>K265</f>
        <v>10000</v>
      </c>
      <c r="L264" s="482">
        <f t="shared" ref="L264:AR264" si="281">L265</f>
        <v>10000</v>
      </c>
      <c r="M264" s="482">
        <f t="shared" si="281"/>
        <v>0</v>
      </c>
      <c r="N264" s="482">
        <f t="shared" si="281"/>
        <v>0</v>
      </c>
      <c r="O264" s="482">
        <f t="shared" si="281"/>
        <v>0</v>
      </c>
      <c r="P264" s="482">
        <f t="shared" si="281"/>
        <v>0</v>
      </c>
      <c r="Q264" s="482">
        <f t="shared" si="281"/>
        <v>0</v>
      </c>
      <c r="R264" s="482">
        <f t="shared" si="281"/>
        <v>0</v>
      </c>
      <c r="S264" s="482">
        <f t="shared" si="281"/>
        <v>10000</v>
      </c>
      <c r="T264" s="482">
        <f t="shared" si="281"/>
        <v>10000</v>
      </c>
      <c r="U264" s="482">
        <f t="shared" si="281"/>
        <v>0</v>
      </c>
      <c r="V264" s="482">
        <f t="shared" si="281"/>
        <v>0</v>
      </c>
      <c r="W264" s="482">
        <f t="shared" si="281"/>
        <v>0</v>
      </c>
      <c r="X264" s="482">
        <f t="shared" si="281"/>
        <v>0</v>
      </c>
      <c r="Y264" s="482">
        <f t="shared" si="281"/>
        <v>0</v>
      </c>
      <c r="Z264" s="482">
        <f t="shared" si="281"/>
        <v>0</v>
      </c>
      <c r="AA264" s="482">
        <f t="shared" si="281"/>
        <v>0</v>
      </c>
      <c r="AB264" s="482">
        <f t="shared" si="281"/>
        <v>150</v>
      </c>
      <c r="AC264" s="482">
        <f t="shared" si="281"/>
        <v>150</v>
      </c>
      <c r="AD264" s="482">
        <f t="shared" si="281"/>
        <v>0</v>
      </c>
      <c r="AE264" s="482">
        <f t="shared" si="281"/>
        <v>0</v>
      </c>
      <c r="AF264" s="482">
        <f t="shared" si="281"/>
        <v>0</v>
      </c>
      <c r="AG264" s="482">
        <f t="shared" si="281"/>
        <v>0</v>
      </c>
      <c r="AH264" s="482">
        <f t="shared" si="281"/>
        <v>150</v>
      </c>
      <c r="AI264" s="482">
        <f t="shared" si="281"/>
        <v>150</v>
      </c>
      <c r="AJ264" s="482"/>
      <c r="AK264" s="482"/>
      <c r="AL264" s="482">
        <f t="shared" si="281"/>
        <v>2000</v>
      </c>
      <c r="AM264" s="482">
        <f t="shared" si="281"/>
        <v>2000</v>
      </c>
      <c r="AN264" s="482">
        <f t="shared" si="281"/>
        <v>0</v>
      </c>
      <c r="AO264" s="482">
        <f t="shared" si="281"/>
        <v>0</v>
      </c>
      <c r="AP264" s="482">
        <f t="shared" si="281"/>
        <v>2000</v>
      </c>
      <c r="AQ264" s="482">
        <f t="shared" si="281"/>
        <v>2000</v>
      </c>
      <c r="AR264" s="482">
        <f t="shared" si="281"/>
        <v>0</v>
      </c>
      <c r="AS264" s="482"/>
      <c r="AT264" s="480"/>
      <c r="AU264" s="489"/>
      <c r="AV264" s="489"/>
      <c r="AW264" s="551"/>
      <c r="AX264" s="537"/>
      <c r="AY264" s="81"/>
      <c r="BG264" s="488">
        <f t="shared" ref="BG264" si="282">AL264-AQ264</f>
        <v>0</v>
      </c>
    </row>
    <row r="265" spans="1:59" s="82" customFormat="1" ht="59.25" customHeight="1">
      <c r="A265" s="582">
        <v>9</v>
      </c>
      <c r="B265" s="565" t="s">
        <v>557</v>
      </c>
      <c r="C265" s="494" t="s">
        <v>538</v>
      </c>
      <c r="D265" s="494"/>
      <c r="E265" s="494"/>
      <c r="F265" s="494"/>
      <c r="G265" s="494"/>
      <c r="H265" s="494"/>
      <c r="I265" s="494"/>
      <c r="J265" s="578" t="s">
        <v>818</v>
      </c>
      <c r="K265" s="621">
        <f>L265</f>
        <v>10000</v>
      </c>
      <c r="L265" s="621">
        <v>10000</v>
      </c>
      <c r="M265" s="496"/>
      <c r="N265" s="496"/>
      <c r="O265" s="496"/>
      <c r="P265" s="496"/>
      <c r="Q265" s="496">
        <f t="shared" ref="Q265" si="283">M265+X265</f>
        <v>0</v>
      </c>
      <c r="R265" s="496">
        <f t="shared" ref="R265" si="284">N265+Y265</f>
        <v>0</v>
      </c>
      <c r="S265" s="496">
        <v>10000</v>
      </c>
      <c r="T265" s="496">
        <v>10000</v>
      </c>
      <c r="U265" s="496"/>
      <c r="V265" s="496"/>
      <c r="W265" s="496"/>
      <c r="X265" s="496"/>
      <c r="Y265" s="496"/>
      <c r="Z265" s="496"/>
      <c r="AA265" s="496"/>
      <c r="AB265" s="496">
        <v>150</v>
      </c>
      <c r="AC265" s="496">
        <v>150</v>
      </c>
      <c r="AD265" s="496"/>
      <c r="AE265" s="496"/>
      <c r="AF265" s="496"/>
      <c r="AG265" s="496"/>
      <c r="AH265" s="496">
        <f t="shared" ref="AH265" si="285">X265+AB265</f>
        <v>150</v>
      </c>
      <c r="AI265" s="496">
        <f t="shared" ref="AI265" si="286">Y265+AC265</f>
        <v>150</v>
      </c>
      <c r="AJ265" s="496"/>
      <c r="AK265" s="496"/>
      <c r="AL265" s="496">
        <f t="shared" ref="AL265" si="287">AP265</f>
        <v>2000</v>
      </c>
      <c r="AM265" s="496">
        <f t="shared" ref="AM265" si="288">AQ265</f>
        <v>2000</v>
      </c>
      <c r="AN265" s="496">
        <f t="shared" ref="AN265" si="289">AR265</f>
        <v>0</v>
      </c>
      <c r="AO265" s="496">
        <f t="shared" ref="AO265" si="290">AS265</f>
        <v>0</v>
      </c>
      <c r="AP265" s="496">
        <f>AQ265</f>
        <v>2000</v>
      </c>
      <c r="AQ265" s="496">
        <v>2000</v>
      </c>
      <c r="AR265" s="496"/>
      <c r="AS265" s="496"/>
      <c r="AT265" s="536" t="s">
        <v>1068</v>
      </c>
      <c r="AU265" s="484">
        <f t="shared" ref="AU265" si="291">AP265-AQ265</f>
        <v>0</v>
      </c>
      <c r="AV265" s="484">
        <f t="shared" ref="AV265" si="292">V265-AA265</f>
        <v>0</v>
      </c>
      <c r="AW265" s="521">
        <f>AC265</f>
        <v>150</v>
      </c>
      <c r="AX265" s="548">
        <f>T265</f>
        <v>10000</v>
      </c>
      <c r="AY265" s="82">
        <f>T265-AX265</f>
        <v>0</v>
      </c>
      <c r="BF265" s="82">
        <f>AQ265</f>
        <v>2000</v>
      </c>
      <c r="BG265" s="488">
        <f t="shared" ref="BG265" si="293">AL265-AQ265</f>
        <v>0</v>
      </c>
    </row>
    <row r="266" spans="1:59" s="80" customFormat="1" ht="59.25" customHeight="1">
      <c r="A266" s="619" t="s">
        <v>757</v>
      </c>
      <c r="B266" s="557" t="s">
        <v>169</v>
      </c>
      <c r="C266" s="615"/>
      <c r="D266" s="615"/>
      <c r="E266" s="615"/>
      <c r="F266" s="615"/>
      <c r="G266" s="615"/>
      <c r="H266" s="615"/>
      <c r="I266" s="615"/>
      <c r="J266" s="527"/>
      <c r="K266" s="602">
        <f t="shared" ref="K266:R266" si="294">SUM(K268:K268)</f>
        <v>0</v>
      </c>
      <c r="L266" s="602">
        <f t="shared" si="294"/>
        <v>0</v>
      </c>
      <c r="M266" s="602">
        <f t="shared" si="294"/>
        <v>0</v>
      </c>
      <c r="N266" s="602">
        <f t="shared" si="294"/>
        <v>0</v>
      </c>
      <c r="O266" s="602">
        <f t="shared" si="294"/>
        <v>0</v>
      </c>
      <c r="P266" s="602">
        <f t="shared" si="294"/>
        <v>0</v>
      </c>
      <c r="Q266" s="602">
        <f t="shared" si="294"/>
        <v>0</v>
      </c>
      <c r="R266" s="602">
        <f t="shared" si="294"/>
        <v>0</v>
      </c>
      <c r="S266" s="602">
        <f>S267</f>
        <v>18746</v>
      </c>
      <c r="T266" s="602">
        <f t="shared" ref="T266:AS266" si="295">T267</f>
        <v>18746</v>
      </c>
      <c r="U266" s="602">
        <f t="shared" si="295"/>
        <v>0</v>
      </c>
      <c r="V266" s="602">
        <f t="shared" si="295"/>
        <v>0</v>
      </c>
      <c r="W266" s="602"/>
      <c r="X266" s="602">
        <f t="shared" si="295"/>
        <v>0</v>
      </c>
      <c r="Y266" s="602">
        <f t="shared" si="295"/>
        <v>0</v>
      </c>
      <c r="Z266" s="602">
        <f t="shared" si="295"/>
        <v>0</v>
      </c>
      <c r="AA266" s="602">
        <f t="shared" si="295"/>
        <v>0</v>
      </c>
      <c r="AB266" s="602">
        <f t="shared" si="295"/>
        <v>105</v>
      </c>
      <c r="AC266" s="602">
        <f t="shared" si="295"/>
        <v>105</v>
      </c>
      <c r="AD266" s="602">
        <f t="shared" si="295"/>
        <v>0</v>
      </c>
      <c r="AE266" s="602">
        <f t="shared" si="295"/>
        <v>0</v>
      </c>
      <c r="AF266" s="602">
        <f t="shared" si="295"/>
        <v>0</v>
      </c>
      <c r="AG266" s="602">
        <f t="shared" si="295"/>
        <v>0</v>
      </c>
      <c r="AH266" s="602">
        <f t="shared" si="295"/>
        <v>105</v>
      </c>
      <c r="AI266" s="602">
        <f t="shared" si="295"/>
        <v>105</v>
      </c>
      <c r="AJ266" s="602"/>
      <c r="AK266" s="602"/>
      <c r="AL266" s="602">
        <f t="shared" si="295"/>
        <v>100</v>
      </c>
      <c r="AM266" s="602">
        <f t="shared" si="295"/>
        <v>100</v>
      </c>
      <c r="AN266" s="602">
        <f t="shared" si="295"/>
        <v>0</v>
      </c>
      <c r="AO266" s="602">
        <f t="shared" si="295"/>
        <v>0</v>
      </c>
      <c r="AP266" s="602">
        <f t="shared" si="295"/>
        <v>100</v>
      </c>
      <c r="AQ266" s="602">
        <f t="shared" si="295"/>
        <v>100</v>
      </c>
      <c r="AR266" s="602">
        <f t="shared" si="295"/>
        <v>0</v>
      </c>
      <c r="AS266" s="602">
        <f t="shared" si="295"/>
        <v>0</v>
      </c>
      <c r="AT266" s="526"/>
      <c r="AU266" s="489">
        <f t="shared" si="234"/>
        <v>0</v>
      </c>
      <c r="AV266" s="523">
        <f t="shared" si="259"/>
        <v>0</v>
      </c>
      <c r="AW266" s="526"/>
      <c r="AX266" s="531"/>
      <c r="AZ266" s="532"/>
      <c r="BA266" s="532"/>
      <c r="BG266" s="488">
        <f t="shared" si="244"/>
        <v>0</v>
      </c>
    </row>
    <row r="267" spans="1:59" s="80" customFormat="1" ht="59.25" customHeight="1">
      <c r="A267" s="619" t="s">
        <v>35</v>
      </c>
      <c r="B267" s="557" t="s">
        <v>45</v>
      </c>
      <c r="C267" s="615"/>
      <c r="D267" s="615"/>
      <c r="E267" s="615"/>
      <c r="F267" s="615"/>
      <c r="G267" s="615"/>
      <c r="H267" s="615"/>
      <c r="I267" s="615"/>
      <c r="J267" s="527"/>
      <c r="K267" s="602">
        <f t="shared" ref="K267:V267" si="296">SUM(K268:K270)</f>
        <v>0</v>
      </c>
      <c r="L267" s="602">
        <f t="shared" si="296"/>
        <v>0</v>
      </c>
      <c r="M267" s="602">
        <f t="shared" si="296"/>
        <v>0</v>
      </c>
      <c r="N267" s="602">
        <f t="shared" si="296"/>
        <v>0</v>
      </c>
      <c r="O267" s="602">
        <f t="shared" si="296"/>
        <v>0</v>
      </c>
      <c r="P267" s="602">
        <f t="shared" si="296"/>
        <v>0</v>
      </c>
      <c r="Q267" s="602">
        <f t="shared" si="296"/>
        <v>0</v>
      </c>
      <c r="R267" s="602">
        <f t="shared" si="296"/>
        <v>0</v>
      </c>
      <c r="S267" s="602">
        <f t="shared" si="296"/>
        <v>18746</v>
      </c>
      <c r="T267" s="602">
        <f t="shared" si="296"/>
        <v>18746</v>
      </c>
      <c r="U267" s="602">
        <f t="shared" si="296"/>
        <v>0</v>
      </c>
      <c r="V267" s="602">
        <f t="shared" si="296"/>
        <v>0</v>
      </c>
      <c r="W267" s="602"/>
      <c r="X267" s="602">
        <f t="shared" ref="X267:AI267" si="297">SUM(X268:X270)</f>
        <v>0</v>
      </c>
      <c r="Y267" s="602">
        <f t="shared" si="297"/>
        <v>0</v>
      </c>
      <c r="Z267" s="602">
        <f t="shared" si="297"/>
        <v>0</v>
      </c>
      <c r="AA267" s="602">
        <f t="shared" si="297"/>
        <v>0</v>
      </c>
      <c r="AB267" s="602">
        <f t="shared" si="297"/>
        <v>105</v>
      </c>
      <c r="AC267" s="602">
        <f t="shared" si="297"/>
        <v>105</v>
      </c>
      <c r="AD267" s="602">
        <f t="shared" si="297"/>
        <v>0</v>
      </c>
      <c r="AE267" s="602">
        <f t="shared" si="297"/>
        <v>0</v>
      </c>
      <c r="AF267" s="602">
        <f t="shared" si="297"/>
        <v>0</v>
      </c>
      <c r="AG267" s="602">
        <f t="shared" si="297"/>
        <v>0</v>
      </c>
      <c r="AH267" s="602">
        <f t="shared" si="297"/>
        <v>105</v>
      </c>
      <c r="AI267" s="602">
        <f t="shared" si="297"/>
        <v>105</v>
      </c>
      <c r="AJ267" s="602"/>
      <c r="AK267" s="602"/>
      <c r="AL267" s="602">
        <f t="shared" ref="AL267:AS267" si="298">SUM(AL268:AL270)</f>
        <v>100</v>
      </c>
      <c r="AM267" s="602">
        <f t="shared" si="298"/>
        <v>100</v>
      </c>
      <c r="AN267" s="602">
        <f t="shared" si="298"/>
        <v>0</v>
      </c>
      <c r="AO267" s="602">
        <f t="shared" si="298"/>
        <v>0</v>
      </c>
      <c r="AP267" s="602">
        <f t="shared" si="298"/>
        <v>100</v>
      </c>
      <c r="AQ267" s="602">
        <f t="shared" si="298"/>
        <v>100</v>
      </c>
      <c r="AR267" s="602">
        <f t="shared" si="298"/>
        <v>0</v>
      </c>
      <c r="AS267" s="602">
        <f t="shared" si="298"/>
        <v>0</v>
      </c>
      <c r="AT267" s="526"/>
      <c r="AU267" s="489"/>
      <c r="AV267" s="523"/>
      <c r="AW267" s="526"/>
      <c r="AX267" s="531"/>
      <c r="AZ267" s="532"/>
      <c r="BA267" s="532"/>
      <c r="BG267" s="488">
        <f t="shared" si="244"/>
        <v>0</v>
      </c>
    </row>
    <row r="268" spans="1:59" s="82" customFormat="1" ht="59.25" customHeight="1">
      <c r="A268" s="582">
        <v>2</v>
      </c>
      <c r="B268" s="565" t="s">
        <v>558</v>
      </c>
      <c r="C268" s="494" t="s">
        <v>538</v>
      </c>
      <c r="D268" s="494"/>
      <c r="E268" s="629" t="s">
        <v>997</v>
      </c>
      <c r="F268" s="494"/>
      <c r="G268" s="494"/>
      <c r="H268" s="494"/>
      <c r="I268" s="494"/>
      <c r="J268" s="495"/>
      <c r="K268" s="496"/>
      <c r="L268" s="496"/>
      <c r="M268" s="496"/>
      <c r="N268" s="496"/>
      <c r="O268" s="496"/>
      <c r="P268" s="496"/>
      <c r="Q268" s="496">
        <f t="shared" si="272"/>
        <v>0</v>
      </c>
      <c r="R268" s="496">
        <f t="shared" si="273"/>
        <v>0</v>
      </c>
      <c r="S268" s="496">
        <v>7000</v>
      </c>
      <c r="T268" s="496">
        <v>7000</v>
      </c>
      <c r="U268" s="496"/>
      <c r="V268" s="496"/>
      <c r="W268" s="496"/>
      <c r="X268" s="496"/>
      <c r="Y268" s="496"/>
      <c r="Z268" s="496"/>
      <c r="AA268" s="496"/>
      <c r="AB268" s="496">
        <v>105</v>
      </c>
      <c r="AC268" s="496">
        <v>105</v>
      </c>
      <c r="AD268" s="496"/>
      <c r="AE268" s="496"/>
      <c r="AF268" s="496"/>
      <c r="AG268" s="496"/>
      <c r="AH268" s="496">
        <f t="shared" si="278"/>
        <v>105</v>
      </c>
      <c r="AI268" s="496">
        <f t="shared" si="279"/>
        <v>105</v>
      </c>
      <c r="AJ268" s="496"/>
      <c r="AK268" s="496"/>
      <c r="AL268" s="496">
        <f t="shared" si="239"/>
        <v>0</v>
      </c>
      <c r="AM268" s="496">
        <f t="shared" si="240"/>
        <v>0</v>
      </c>
      <c r="AN268" s="496">
        <f t="shared" si="241"/>
        <v>0</v>
      </c>
      <c r="AO268" s="496">
        <f t="shared" si="242"/>
        <v>0</v>
      </c>
      <c r="AP268" s="496"/>
      <c r="AQ268" s="496"/>
      <c r="AR268" s="496"/>
      <c r="AS268" s="496"/>
      <c r="AT268" s="536"/>
      <c r="AU268" s="484">
        <f t="shared" ref="AU268:AU311" si="299">AP268-AQ268</f>
        <v>0</v>
      </c>
      <c r="AV268" s="484">
        <f t="shared" si="259"/>
        <v>0</v>
      </c>
      <c r="AW268" s="521"/>
      <c r="AX268" s="548"/>
      <c r="BG268" s="488">
        <f t="shared" si="244"/>
        <v>0</v>
      </c>
    </row>
    <row r="269" spans="1:59" s="510" customFormat="1" ht="59.25" customHeight="1">
      <c r="A269" s="484">
        <v>3</v>
      </c>
      <c r="B269" s="522" t="s">
        <v>559</v>
      </c>
      <c r="C269" s="494" t="s">
        <v>538</v>
      </c>
      <c r="D269" s="494"/>
      <c r="E269" s="629" t="s">
        <v>997</v>
      </c>
      <c r="F269" s="494"/>
      <c r="G269" s="494"/>
      <c r="H269" s="503"/>
      <c r="I269" s="503"/>
      <c r="J269" s="495"/>
      <c r="K269" s="496"/>
      <c r="L269" s="496"/>
      <c r="M269" s="496"/>
      <c r="N269" s="496"/>
      <c r="O269" s="496"/>
      <c r="P269" s="496"/>
      <c r="Q269" s="496">
        <f t="shared" si="272"/>
        <v>0</v>
      </c>
      <c r="R269" s="496">
        <f t="shared" si="273"/>
        <v>0</v>
      </c>
      <c r="S269" s="520">
        <v>5746</v>
      </c>
      <c r="T269" s="520">
        <v>5746</v>
      </c>
      <c r="U269" s="496"/>
      <c r="V269" s="496"/>
      <c r="W269" s="496"/>
      <c r="X269" s="496"/>
      <c r="Y269" s="496"/>
      <c r="Z269" s="496"/>
      <c r="AA269" s="496"/>
      <c r="AB269" s="496"/>
      <c r="AC269" s="496"/>
      <c r="AD269" s="496"/>
      <c r="AE269" s="496"/>
      <c r="AF269" s="496"/>
      <c r="AG269" s="496"/>
      <c r="AH269" s="496">
        <f t="shared" si="278"/>
        <v>0</v>
      </c>
      <c r="AI269" s="496">
        <f t="shared" si="279"/>
        <v>0</v>
      </c>
      <c r="AJ269" s="496"/>
      <c r="AK269" s="496"/>
      <c r="AL269" s="496">
        <f t="shared" si="239"/>
        <v>50</v>
      </c>
      <c r="AM269" s="496">
        <f t="shared" si="240"/>
        <v>50</v>
      </c>
      <c r="AN269" s="496">
        <f t="shared" si="241"/>
        <v>0</v>
      </c>
      <c r="AO269" s="496">
        <f t="shared" si="242"/>
        <v>0</v>
      </c>
      <c r="AP269" s="496">
        <v>50</v>
      </c>
      <c r="AQ269" s="496">
        <f>AP269</f>
        <v>50</v>
      </c>
      <c r="AR269" s="496"/>
      <c r="AS269" s="496"/>
      <c r="AT269" s="536"/>
      <c r="AU269" s="484">
        <f t="shared" si="299"/>
        <v>0</v>
      </c>
      <c r="AV269" s="484">
        <f t="shared" si="259"/>
        <v>0</v>
      </c>
      <c r="AW269" s="648"/>
      <c r="AX269" s="572"/>
      <c r="BG269" s="488">
        <f t="shared" si="244"/>
        <v>0</v>
      </c>
    </row>
    <row r="270" spans="1:59" s="82" customFormat="1" ht="59.25" customHeight="1">
      <c r="A270" s="582">
        <v>4</v>
      </c>
      <c r="B270" s="522" t="s">
        <v>1046</v>
      </c>
      <c r="C270" s="494" t="s">
        <v>538</v>
      </c>
      <c r="D270" s="494"/>
      <c r="E270" s="629" t="s">
        <v>997</v>
      </c>
      <c r="F270" s="494"/>
      <c r="G270" s="494"/>
      <c r="H270" s="494"/>
      <c r="I270" s="494"/>
      <c r="J270" s="495"/>
      <c r="K270" s="496"/>
      <c r="L270" s="496"/>
      <c r="M270" s="496"/>
      <c r="N270" s="496"/>
      <c r="O270" s="496"/>
      <c r="P270" s="496"/>
      <c r="Q270" s="496">
        <f>M270+X270</f>
        <v>0</v>
      </c>
      <c r="R270" s="496">
        <f>N270+Y270</f>
        <v>0</v>
      </c>
      <c r="S270" s="496">
        <v>6000</v>
      </c>
      <c r="T270" s="496">
        <v>6000</v>
      </c>
      <c r="U270" s="496"/>
      <c r="V270" s="496"/>
      <c r="W270" s="496"/>
      <c r="X270" s="496"/>
      <c r="Y270" s="496"/>
      <c r="Z270" s="496"/>
      <c r="AA270" s="496"/>
      <c r="AB270" s="496"/>
      <c r="AC270" s="496"/>
      <c r="AD270" s="496"/>
      <c r="AE270" s="496"/>
      <c r="AF270" s="496"/>
      <c r="AG270" s="496"/>
      <c r="AH270" s="496">
        <f>X270+AB270</f>
        <v>0</v>
      </c>
      <c r="AI270" s="496">
        <f>Y270+AC270</f>
        <v>0</v>
      </c>
      <c r="AJ270" s="496"/>
      <c r="AK270" s="496"/>
      <c r="AL270" s="496">
        <f>AP270</f>
        <v>50</v>
      </c>
      <c r="AM270" s="496">
        <f>AQ270</f>
        <v>50</v>
      </c>
      <c r="AN270" s="496">
        <f>AR270</f>
        <v>0</v>
      </c>
      <c r="AO270" s="496">
        <f>AS270</f>
        <v>0</v>
      </c>
      <c r="AP270" s="496">
        <v>50</v>
      </c>
      <c r="AQ270" s="496">
        <f>AP270</f>
        <v>50</v>
      </c>
      <c r="AR270" s="496"/>
      <c r="AS270" s="496"/>
      <c r="AT270" s="536"/>
      <c r="AU270" s="484">
        <f>AP270-AQ270</f>
        <v>0</v>
      </c>
      <c r="AV270" s="484">
        <f>V270-AA270</f>
        <v>0</v>
      </c>
      <c r="AW270" s="521"/>
      <c r="AX270" s="548">
        <f>T270</f>
        <v>6000</v>
      </c>
      <c r="BE270" s="82">
        <v>1</v>
      </c>
      <c r="BF270" s="82">
        <f>AQ270</f>
        <v>50</v>
      </c>
      <c r="BG270" s="488">
        <f t="shared" si="244"/>
        <v>0</v>
      </c>
    </row>
    <row r="271" spans="1:59" s="80" customFormat="1" ht="59.25" hidden="1" customHeight="1">
      <c r="A271" s="484"/>
      <c r="B271" s="522"/>
      <c r="C271" s="494"/>
      <c r="D271" s="494"/>
      <c r="E271" s="494"/>
      <c r="F271" s="494"/>
      <c r="G271" s="494"/>
      <c r="H271" s="526"/>
      <c r="I271" s="526"/>
      <c r="J271" s="495"/>
      <c r="K271" s="496"/>
      <c r="L271" s="496"/>
      <c r="M271" s="496"/>
      <c r="N271" s="496"/>
      <c r="O271" s="496"/>
      <c r="P271" s="496"/>
      <c r="Q271" s="496"/>
      <c r="R271" s="496"/>
      <c r="S271" s="520"/>
      <c r="T271" s="520"/>
      <c r="U271" s="496"/>
      <c r="V271" s="496"/>
      <c r="W271" s="496"/>
      <c r="X271" s="496"/>
      <c r="Y271" s="496"/>
      <c r="Z271" s="496"/>
      <c r="AA271" s="496"/>
      <c r="AB271" s="496"/>
      <c r="AC271" s="496"/>
      <c r="AD271" s="496"/>
      <c r="AE271" s="496"/>
      <c r="AF271" s="496"/>
      <c r="AG271" s="496"/>
      <c r="AH271" s="482"/>
      <c r="AI271" s="482"/>
      <c r="AJ271" s="482"/>
      <c r="AK271" s="482"/>
      <c r="AL271" s="482"/>
      <c r="AM271" s="482"/>
      <c r="AN271" s="482"/>
      <c r="AO271" s="482"/>
      <c r="AP271" s="496"/>
      <c r="AQ271" s="496"/>
      <c r="AR271" s="496"/>
      <c r="AS271" s="496"/>
      <c r="AT271" s="648"/>
      <c r="AU271" s="484"/>
      <c r="AV271" s="484"/>
      <c r="AW271" s="648"/>
      <c r="AX271" s="542"/>
      <c r="BG271" s="488">
        <f t="shared" si="244"/>
        <v>0</v>
      </c>
    </row>
    <row r="272" spans="1:59" s="81" customFormat="1" ht="59.25" customHeight="1">
      <c r="A272" s="582">
        <v>11</v>
      </c>
      <c r="B272" s="565" t="s">
        <v>560</v>
      </c>
      <c r="C272" s="494" t="s">
        <v>538</v>
      </c>
      <c r="D272" s="494"/>
      <c r="E272" s="494"/>
      <c r="F272" s="494"/>
      <c r="G272" s="494"/>
      <c r="H272" s="480"/>
      <c r="I272" s="480"/>
      <c r="J272" s="481"/>
      <c r="K272" s="496"/>
      <c r="L272" s="496"/>
      <c r="M272" s="496"/>
      <c r="N272" s="496"/>
      <c r="O272" s="496"/>
      <c r="P272" s="496"/>
      <c r="Q272" s="496">
        <f t="shared" si="272"/>
        <v>0</v>
      </c>
      <c r="R272" s="496">
        <f t="shared" si="273"/>
        <v>0</v>
      </c>
      <c r="S272" s="496">
        <v>15000</v>
      </c>
      <c r="T272" s="496">
        <v>15000</v>
      </c>
      <c r="U272" s="496"/>
      <c r="V272" s="496"/>
      <c r="W272" s="496"/>
      <c r="X272" s="496"/>
      <c r="Y272" s="496"/>
      <c r="Z272" s="496"/>
      <c r="AA272" s="496"/>
      <c r="AB272" s="496"/>
      <c r="AC272" s="496"/>
      <c r="AD272" s="496"/>
      <c r="AE272" s="496"/>
      <c r="AF272" s="496"/>
      <c r="AG272" s="496"/>
      <c r="AH272" s="482">
        <f t="shared" si="278"/>
        <v>0</v>
      </c>
      <c r="AI272" s="482">
        <f t="shared" si="279"/>
        <v>0</v>
      </c>
      <c r="AJ272" s="482"/>
      <c r="AK272" s="482"/>
      <c r="AL272" s="482">
        <f t="shared" si="239"/>
        <v>0</v>
      </c>
      <c r="AM272" s="482">
        <f t="shared" si="240"/>
        <v>0</v>
      </c>
      <c r="AN272" s="482">
        <f t="shared" si="241"/>
        <v>0</v>
      </c>
      <c r="AO272" s="482">
        <f t="shared" si="242"/>
        <v>0</v>
      </c>
      <c r="AP272" s="496"/>
      <c r="AQ272" s="496"/>
      <c r="AR272" s="496"/>
      <c r="AS272" s="496"/>
      <c r="AT272" s="648" t="s">
        <v>561</v>
      </c>
      <c r="AU272" s="484">
        <f t="shared" si="299"/>
        <v>0</v>
      </c>
      <c r="AV272" s="484">
        <f t="shared" si="259"/>
        <v>0</v>
      </c>
      <c r="AW272" s="648"/>
      <c r="AX272" s="537"/>
      <c r="BG272" s="488">
        <f t="shared" si="244"/>
        <v>0</v>
      </c>
    </row>
    <row r="273" spans="1:59" s="81" customFormat="1" ht="59.25" customHeight="1">
      <c r="A273" s="484">
        <v>12</v>
      </c>
      <c r="B273" s="565" t="s">
        <v>562</v>
      </c>
      <c r="C273" s="494" t="s">
        <v>538</v>
      </c>
      <c r="D273" s="494"/>
      <c r="E273" s="494"/>
      <c r="F273" s="494"/>
      <c r="G273" s="494"/>
      <c r="H273" s="480"/>
      <c r="I273" s="480"/>
      <c r="J273" s="481"/>
      <c r="K273" s="496"/>
      <c r="L273" s="496"/>
      <c r="M273" s="496"/>
      <c r="N273" s="496"/>
      <c r="O273" s="496"/>
      <c r="P273" s="496"/>
      <c r="Q273" s="496">
        <f t="shared" si="272"/>
        <v>0</v>
      </c>
      <c r="R273" s="496">
        <f t="shared" si="273"/>
        <v>0</v>
      </c>
      <c r="S273" s="496">
        <v>3000</v>
      </c>
      <c r="T273" s="496">
        <v>3000</v>
      </c>
      <c r="U273" s="496"/>
      <c r="V273" s="496"/>
      <c r="W273" s="496"/>
      <c r="X273" s="496"/>
      <c r="Y273" s="496"/>
      <c r="Z273" s="496"/>
      <c r="AA273" s="496"/>
      <c r="AB273" s="496"/>
      <c r="AC273" s="496"/>
      <c r="AD273" s="496"/>
      <c r="AE273" s="496"/>
      <c r="AF273" s="496"/>
      <c r="AG273" s="496"/>
      <c r="AH273" s="482">
        <f t="shared" si="278"/>
        <v>0</v>
      </c>
      <c r="AI273" s="482">
        <f t="shared" si="279"/>
        <v>0</v>
      </c>
      <c r="AJ273" s="482"/>
      <c r="AK273" s="482"/>
      <c r="AL273" s="482">
        <f t="shared" si="239"/>
        <v>0</v>
      </c>
      <c r="AM273" s="482">
        <f t="shared" si="240"/>
        <v>0</v>
      </c>
      <c r="AN273" s="482">
        <f t="shared" si="241"/>
        <v>0</v>
      </c>
      <c r="AO273" s="482">
        <f t="shared" si="242"/>
        <v>0</v>
      </c>
      <c r="AP273" s="496"/>
      <c r="AQ273" s="496"/>
      <c r="AR273" s="496"/>
      <c r="AS273" s="496"/>
      <c r="AT273" s="494"/>
      <c r="AU273" s="484">
        <f t="shared" si="299"/>
        <v>0</v>
      </c>
      <c r="AV273" s="484">
        <f t="shared" si="259"/>
        <v>0</v>
      </c>
      <c r="AW273" s="521"/>
      <c r="AX273" s="537"/>
      <c r="BG273" s="488">
        <f t="shared" si="244"/>
        <v>0</v>
      </c>
    </row>
    <row r="274" spans="1:59" s="81" customFormat="1" ht="59.25" customHeight="1">
      <c r="A274" s="484">
        <v>14</v>
      </c>
      <c r="B274" s="565" t="s">
        <v>563</v>
      </c>
      <c r="C274" s="494" t="s">
        <v>538</v>
      </c>
      <c r="D274" s="494"/>
      <c r="E274" s="494"/>
      <c r="F274" s="494"/>
      <c r="G274" s="494"/>
      <c r="H274" s="480"/>
      <c r="I274" s="480"/>
      <c r="J274" s="481"/>
      <c r="K274" s="496"/>
      <c r="L274" s="496"/>
      <c r="M274" s="496"/>
      <c r="N274" s="496"/>
      <c r="O274" s="496"/>
      <c r="P274" s="496"/>
      <c r="Q274" s="496">
        <f t="shared" si="272"/>
        <v>0</v>
      </c>
      <c r="R274" s="496">
        <f t="shared" si="273"/>
        <v>0</v>
      </c>
      <c r="S274" s="496">
        <v>5000</v>
      </c>
      <c r="T274" s="496">
        <v>5000</v>
      </c>
      <c r="U274" s="496"/>
      <c r="V274" s="496"/>
      <c r="W274" s="496"/>
      <c r="X274" s="496"/>
      <c r="Y274" s="496"/>
      <c r="Z274" s="496"/>
      <c r="AA274" s="496"/>
      <c r="AB274" s="496"/>
      <c r="AC274" s="496"/>
      <c r="AD274" s="496"/>
      <c r="AE274" s="496"/>
      <c r="AF274" s="496"/>
      <c r="AG274" s="496"/>
      <c r="AH274" s="482">
        <f t="shared" si="278"/>
        <v>0</v>
      </c>
      <c r="AI274" s="482">
        <f t="shared" si="279"/>
        <v>0</v>
      </c>
      <c r="AJ274" s="482"/>
      <c r="AK274" s="482"/>
      <c r="AL274" s="482">
        <f t="shared" si="239"/>
        <v>0</v>
      </c>
      <c r="AM274" s="482">
        <f t="shared" si="240"/>
        <v>0</v>
      </c>
      <c r="AN274" s="482">
        <f t="shared" si="241"/>
        <v>0</v>
      </c>
      <c r="AO274" s="482">
        <f t="shared" si="242"/>
        <v>0</v>
      </c>
      <c r="AP274" s="496"/>
      <c r="AQ274" s="496"/>
      <c r="AR274" s="496"/>
      <c r="AS274" s="496"/>
      <c r="AT274" s="494"/>
      <c r="AU274" s="484">
        <f t="shared" si="299"/>
        <v>0</v>
      </c>
      <c r="AV274" s="484">
        <f t="shared" si="259"/>
        <v>0</v>
      </c>
      <c r="AW274" s="521"/>
      <c r="AX274" s="537"/>
      <c r="BG274" s="488">
        <f t="shared" si="244"/>
        <v>0</v>
      </c>
    </row>
    <row r="275" spans="1:59" s="81" customFormat="1" ht="59.25" hidden="1" customHeight="1">
      <c r="A275" s="543"/>
      <c r="B275" s="565"/>
      <c r="C275" s="545"/>
      <c r="D275" s="545"/>
      <c r="E275" s="545"/>
      <c r="F275" s="545"/>
      <c r="G275" s="545"/>
      <c r="H275" s="480"/>
      <c r="I275" s="480"/>
      <c r="J275" s="481"/>
      <c r="K275" s="496"/>
      <c r="L275" s="496"/>
      <c r="M275" s="496"/>
      <c r="N275" s="496"/>
      <c r="O275" s="496"/>
      <c r="P275" s="496"/>
      <c r="Q275" s="496"/>
      <c r="R275" s="496"/>
      <c r="S275" s="496"/>
      <c r="T275" s="496"/>
      <c r="U275" s="496"/>
      <c r="V275" s="496"/>
      <c r="W275" s="496"/>
      <c r="X275" s="496"/>
      <c r="Y275" s="496"/>
      <c r="Z275" s="496"/>
      <c r="AA275" s="496"/>
      <c r="AB275" s="496"/>
      <c r="AC275" s="496"/>
      <c r="AD275" s="496"/>
      <c r="AE275" s="496"/>
      <c r="AF275" s="496"/>
      <c r="AG275" s="496"/>
      <c r="AH275" s="482"/>
      <c r="AI275" s="482"/>
      <c r="AJ275" s="482"/>
      <c r="AK275" s="482"/>
      <c r="AL275" s="482"/>
      <c r="AM275" s="482"/>
      <c r="AN275" s="482"/>
      <c r="AO275" s="482"/>
      <c r="AP275" s="496"/>
      <c r="AQ275" s="496"/>
      <c r="AR275" s="496"/>
      <c r="AS275" s="496"/>
      <c r="AT275" s="494"/>
      <c r="AU275" s="484">
        <f t="shared" si="299"/>
        <v>0</v>
      </c>
      <c r="AV275" s="484">
        <f t="shared" si="259"/>
        <v>0</v>
      </c>
      <c r="AW275" s="521"/>
      <c r="AX275" s="537"/>
      <c r="BG275" s="488">
        <f t="shared" si="244"/>
        <v>0</v>
      </c>
    </row>
    <row r="276" spans="1:59" s="81" customFormat="1" ht="59.25" customHeight="1">
      <c r="A276" s="556"/>
      <c r="B276" s="479" t="s">
        <v>331</v>
      </c>
      <c r="C276" s="480"/>
      <c r="D276" s="480"/>
      <c r="E276" s="480"/>
      <c r="F276" s="480"/>
      <c r="G276" s="480"/>
      <c r="H276" s="480"/>
      <c r="I276" s="480"/>
      <c r="J276" s="481"/>
      <c r="K276" s="482"/>
      <c r="L276" s="482"/>
      <c r="M276" s="482"/>
      <c r="N276" s="482"/>
      <c r="O276" s="482"/>
      <c r="P276" s="482"/>
      <c r="Q276" s="496"/>
      <c r="R276" s="496"/>
      <c r="S276" s="482"/>
      <c r="T276" s="482"/>
      <c r="U276" s="482"/>
      <c r="V276" s="482"/>
      <c r="W276" s="482"/>
      <c r="X276" s="482"/>
      <c r="Y276" s="482"/>
      <c r="Z276" s="482"/>
      <c r="AA276" s="482"/>
      <c r="AB276" s="482"/>
      <c r="AC276" s="482"/>
      <c r="AD276" s="482"/>
      <c r="AE276" s="482"/>
      <c r="AF276" s="482"/>
      <c r="AG276" s="482"/>
      <c r="AH276" s="482"/>
      <c r="AI276" s="482"/>
      <c r="AJ276" s="482"/>
      <c r="AK276" s="482"/>
      <c r="AL276" s="482"/>
      <c r="AM276" s="482"/>
      <c r="AN276" s="482"/>
      <c r="AO276" s="482"/>
      <c r="AP276" s="482"/>
      <c r="AQ276" s="482">
        <v>31842</v>
      </c>
      <c r="AR276" s="482"/>
      <c r="AS276" s="482"/>
      <c r="AT276" s="649">
        <f>AQ276-AQ277</f>
        <v>0</v>
      </c>
      <c r="AU276" s="484">
        <f t="shared" si="299"/>
        <v>-31842</v>
      </c>
      <c r="AV276" s="484">
        <f t="shared" si="259"/>
        <v>0</v>
      </c>
      <c r="AW276" s="650">
        <f>AT276-AQ277</f>
        <v>-31842</v>
      </c>
      <c r="AX276" s="537"/>
      <c r="BG276" s="488">
        <f t="shared" si="244"/>
        <v>-31842</v>
      </c>
    </row>
    <row r="277" spans="1:59" s="81" customFormat="1" ht="59.25" customHeight="1">
      <c r="A277" s="533" t="s">
        <v>564</v>
      </c>
      <c r="B277" s="534" t="s">
        <v>565</v>
      </c>
      <c r="C277" s="480"/>
      <c r="D277" s="480"/>
      <c r="E277" s="480"/>
      <c r="F277" s="480"/>
      <c r="G277" s="480"/>
      <c r="H277" s="540"/>
      <c r="I277" s="480"/>
      <c r="J277" s="481"/>
      <c r="K277" s="482">
        <f t="shared" ref="K277:AI277" si="300">K278+K282+K285+K289+K296</f>
        <v>659308</v>
      </c>
      <c r="L277" s="482">
        <f t="shared" si="300"/>
        <v>176290</v>
      </c>
      <c r="M277" s="482">
        <f t="shared" si="300"/>
        <v>112516</v>
      </c>
      <c r="N277" s="482">
        <f t="shared" si="300"/>
        <v>112516</v>
      </c>
      <c r="O277" s="482">
        <f t="shared" si="300"/>
        <v>112516</v>
      </c>
      <c r="P277" s="482">
        <f t="shared" si="300"/>
        <v>112516</v>
      </c>
      <c r="Q277" s="482">
        <f t="shared" si="300"/>
        <v>117733</v>
      </c>
      <c r="R277" s="482">
        <f t="shared" si="300"/>
        <v>117733</v>
      </c>
      <c r="S277" s="482">
        <f t="shared" si="300"/>
        <v>166492</v>
      </c>
      <c r="T277" s="482">
        <f t="shared" si="300"/>
        <v>154590</v>
      </c>
      <c r="U277" s="482">
        <f t="shared" si="300"/>
        <v>4993</v>
      </c>
      <c r="V277" s="482">
        <f t="shared" si="300"/>
        <v>397</v>
      </c>
      <c r="W277" s="482">
        <f t="shared" si="300"/>
        <v>443598</v>
      </c>
      <c r="X277" s="482">
        <f t="shared" si="300"/>
        <v>5217</v>
      </c>
      <c r="Y277" s="482">
        <f t="shared" si="300"/>
        <v>5217</v>
      </c>
      <c r="Z277" s="482">
        <f t="shared" si="300"/>
        <v>0</v>
      </c>
      <c r="AA277" s="482">
        <f t="shared" si="300"/>
        <v>0</v>
      </c>
      <c r="AB277" s="482">
        <f t="shared" si="300"/>
        <v>16702.793259999999</v>
      </c>
      <c r="AC277" s="482">
        <f t="shared" si="300"/>
        <v>16702.793259999999</v>
      </c>
      <c r="AD277" s="482">
        <f t="shared" si="300"/>
        <v>3497.7932599999999</v>
      </c>
      <c r="AE277" s="482">
        <f t="shared" si="300"/>
        <v>397</v>
      </c>
      <c r="AF277" s="482">
        <f t="shared" si="300"/>
        <v>5578.6109999999999</v>
      </c>
      <c r="AG277" s="482">
        <f t="shared" si="300"/>
        <v>7765.107</v>
      </c>
      <c r="AH277" s="482">
        <f t="shared" si="300"/>
        <v>21919.793259999999</v>
      </c>
      <c r="AI277" s="482">
        <f t="shared" si="300"/>
        <v>21919.793259999999</v>
      </c>
      <c r="AJ277" s="482"/>
      <c r="AK277" s="482"/>
      <c r="AL277" s="482">
        <f t="shared" ref="AL277:AS277" si="301">AL278+AL282+AL285+AL289+AL296</f>
        <v>115196.20673999999</v>
      </c>
      <c r="AM277" s="482">
        <f t="shared" si="301"/>
        <v>113696.20673999999</v>
      </c>
      <c r="AN277" s="482" t="e">
        <f t="shared" si="301"/>
        <v>#REF!</v>
      </c>
      <c r="AO277" s="482">
        <f t="shared" si="301"/>
        <v>0</v>
      </c>
      <c r="AP277" s="482">
        <f t="shared" si="301"/>
        <v>31842</v>
      </c>
      <c r="AQ277" s="482">
        <f t="shared" si="301"/>
        <v>31842</v>
      </c>
      <c r="AR277" s="482">
        <f t="shared" si="301"/>
        <v>0</v>
      </c>
      <c r="AS277" s="482">
        <f t="shared" si="301"/>
        <v>0</v>
      </c>
      <c r="AT277" s="551"/>
      <c r="AU277" s="484">
        <f t="shared" si="299"/>
        <v>0</v>
      </c>
      <c r="AV277" s="484">
        <f t="shared" si="259"/>
        <v>397</v>
      </c>
      <c r="AW277" s="551"/>
      <c r="AX277" s="537"/>
      <c r="BG277" s="488">
        <f t="shared" si="244"/>
        <v>83354.206739999994</v>
      </c>
    </row>
    <row r="278" spans="1:59" s="81" customFormat="1" ht="59.25" customHeight="1">
      <c r="A278" s="478" t="s">
        <v>33</v>
      </c>
      <c r="B278" s="539" t="s">
        <v>286</v>
      </c>
      <c r="C278" s="480"/>
      <c r="D278" s="480"/>
      <c r="E278" s="480"/>
      <c r="F278" s="480"/>
      <c r="G278" s="480"/>
      <c r="H278" s="480"/>
      <c r="I278" s="480"/>
      <c r="J278" s="481"/>
      <c r="K278" s="519">
        <f>K279</f>
        <v>551816</v>
      </c>
      <c r="L278" s="519">
        <f t="shared" ref="L278:AS278" si="302">L279</f>
        <v>80390</v>
      </c>
      <c r="M278" s="519">
        <f t="shared" si="302"/>
        <v>112516</v>
      </c>
      <c r="N278" s="519">
        <f t="shared" si="302"/>
        <v>112516</v>
      </c>
      <c r="O278" s="519">
        <f t="shared" si="302"/>
        <v>112516</v>
      </c>
      <c r="P278" s="519">
        <f t="shared" si="302"/>
        <v>112516</v>
      </c>
      <c r="Q278" s="519">
        <f t="shared" si="302"/>
        <v>112516</v>
      </c>
      <c r="R278" s="519">
        <f t="shared" si="302"/>
        <v>112516</v>
      </c>
      <c r="S278" s="519">
        <f t="shared" si="302"/>
        <v>39700</v>
      </c>
      <c r="T278" s="519">
        <f t="shared" si="302"/>
        <v>39390</v>
      </c>
      <c r="U278" s="519">
        <f t="shared" si="302"/>
        <v>4993</v>
      </c>
      <c r="V278" s="519">
        <f t="shared" si="302"/>
        <v>397</v>
      </c>
      <c r="W278" s="519">
        <f t="shared" si="302"/>
        <v>426411</v>
      </c>
      <c r="X278" s="519">
        <f t="shared" si="302"/>
        <v>0</v>
      </c>
      <c r="Y278" s="519">
        <f t="shared" si="302"/>
        <v>0</v>
      </c>
      <c r="Z278" s="519">
        <f t="shared" si="302"/>
        <v>0</v>
      </c>
      <c r="AA278" s="519">
        <f t="shared" si="302"/>
        <v>0</v>
      </c>
      <c r="AB278" s="519">
        <f t="shared" si="302"/>
        <v>3894.7932599999999</v>
      </c>
      <c r="AC278" s="519">
        <f t="shared" si="302"/>
        <v>3894.7932599999999</v>
      </c>
      <c r="AD278" s="519">
        <f t="shared" si="302"/>
        <v>3497.7932599999999</v>
      </c>
      <c r="AE278" s="519">
        <f t="shared" si="302"/>
        <v>397</v>
      </c>
      <c r="AF278" s="519">
        <f t="shared" si="302"/>
        <v>3397</v>
      </c>
      <c r="AG278" s="519">
        <f t="shared" si="302"/>
        <v>3397</v>
      </c>
      <c r="AH278" s="519">
        <f t="shared" si="302"/>
        <v>3894.7932599999999</v>
      </c>
      <c r="AI278" s="519">
        <f t="shared" si="302"/>
        <v>3894.7932599999999</v>
      </c>
      <c r="AJ278" s="519"/>
      <c r="AK278" s="519"/>
      <c r="AL278" s="519">
        <f t="shared" si="302"/>
        <v>86403.206739999994</v>
      </c>
      <c r="AM278" s="519">
        <f t="shared" si="302"/>
        <v>86403.206739999994</v>
      </c>
      <c r="AN278" s="519">
        <f t="shared" si="302"/>
        <v>1495.2067400000001</v>
      </c>
      <c r="AO278" s="519">
        <f t="shared" si="302"/>
        <v>0</v>
      </c>
      <c r="AP278" s="519">
        <f t="shared" si="302"/>
        <v>7495</v>
      </c>
      <c r="AQ278" s="519">
        <f t="shared" si="302"/>
        <v>7495</v>
      </c>
      <c r="AR278" s="519">
        <f t="shared" si="302"/>
        <v>0</v>
      </c>
      <c r="AS278" s="519">
        <f t="shared" si="302"/>
        <v>0</v>
      </c>
      <c r="AT278" s="551"/>
      <c r="AU278" s="484">
        <f t="shared" si="299"/>
        <v>0</v>
      </c>
      <c r="AV278" s="489"/>
      <c r="AW278" s="551"/>
      <c r="AX278" s="537"/>
      <c r="BG278" s="488">
        <f t="shared" ref="BG278:BG312" si="303">AL278-AQ278</f>
        <v>78908.206739999994</v>
      </c>
    </row>
    <row r="279" spans="1:59" s="81" customFormat="1" ht="59.25" customHeight="1">
      <c r="A279" s="556" t="s">
        <v>35</v>
      </c>
      <c r="B279" s="557" t="s">
        <v>43</v>
      </c>
      <c r="C279" s="480"/>
      <c r="D279" s="480"/>
      <c r="E279" s="480"/>
      <c r="F279" s="480"/>
      <c r="G279" s="480"/>
      <c r="H279" s="480"/>
      <c r="I279" s="480"/>
      <c r="J279" s="481"/>
      <c r="K279" s="519">
        <f>K280+K281</f>
        <v>551816</v>
      </c>
      <c r="L279" s="519">
        <f t="shared" ref="L279:AS279" si="304">L280+L281</f>
        <v>80390</v>
      </c>
      <c r="M279" s="519">
        <f t="shared" si="304"/>
        <v>112516</v>
      </c>
      <c r="N279" s="519">
        <f t="shared" si="304"/>
        <v>112516</v>
      </c>
      <c r="O279" s="519">
        <f t="shared" si="304"/>
        <v>112516</v>
      </c>
      <c r="P279" s="519">
        <f t="shared" si="304"/>
        <v>112516</v>
      </c>
      <c r="Q279" s="519">
        <f t="shared" si="304"/>
        <v>112516</v>
      </c>
      <c r="R279" s="519">
        <f t="shared" si="304"/>
        <v>112516</v>
      </c>
      <c r="S279" s="519">
        <f t="shared" si="304"/>
        <v>39700</v>
      </c>
      <c r="T279" s="519">
        <f t="shared" si="304"/>
        <v>39390</v>
      </c>
      <c r="U279" s="519">
        <f t="shared" si="304"/>
        <v>4993</v>
      </c>
      <c r="V279" s="519">
        <f t="shared" si="304"/>
        <v>397</v>
      </c>
      <c r="W279" s="519">
        <f t="shared" si="304"/>
        <v>426411</v>
      </c>
      <c r="X279" s="519">
        <f t="shared" si="304"/>
        <v>0</v>
      </c>
      <c r="Y279" s="519">
        <f t="shared" si="304"/>
        <v>0</v>
      </c>
      <c r="Z279" s="519">
        <f t="shared" si="304"/>
        <v>0</v>
      </c>
      <c r="AA279" s="519">
        <f t="shared" si="304"/>
        <v>0</v>
      </c>
      <c r="AB279" s="519">
        <f t="shared" si="304"/>
        <v>3894.7932599999999</v>
      </c>
      <c r="AC279" s="519">
        <f t="shared" si="304"/>
        <v>3894.7932599999999</v>
      </c>
      <c r="AD279" s="519">
        <f t="shared" si="304"/>
        <v>3497.7932599999999</v>
      </c>
      <c r="AE279" s="519">
        <f t="shared" si="304"/>
        <v>397</v>
      </c>
      <c r="AF279" s="519">
        <f t="shared" si="304"/>
        <v>3397</v>
      </c>
      <c r="AG279" s="519">
        <f t="shared" si="304"/>
        <v>3397</v>
      </c>
      <c r="AH279" s="519">
        <f t="shared" si="304"/>
        <v>3894.7932599999999</v>
      </c>
      <c r="AI279" s="519">
        <f t="shared" si="304"/>
        <v>3894.7932599999999</v>
      </c>
      <c r="AJ279" s="519">
        <f t="shared" si="304"/>
        <v>0</v>
      </c>
      <c r="AK279" s="519">
        <f t="shared" si="304"/>
        <v>0</v>
      </c>
      <c r="AL279" s="519">
        <f t="shared" si="304"/>
        <v>86403.206739999994</v>
      </c>
      <c r="AM279" s="519">
        <f t="shared" si="304"/>
        <v>86403.206739999994</v>
      </c>
      <c r="AN279" s="519">
        <f t="shared" si="304"/>
        <v>1495.2067400000001</v>
      </c>
      <c r="AO279" s="519">
        <f t="shared" si="304"/>
        <v>0</v>
      </c>
      <c r="AP279" s="519">
        <f t="shared" si="304"/>
        <v>7495</v>
      </c>
      <c r="AQ279" s="519">
        <f t="shared" si="304"/>
        <v>7495</v>
      </c>
      <c r="AR279" s="519">
        <f t="shared" si="304"/>
        <v>0</v>
      </c>
      <c r="AS279" s="519">
        <f t="shared" si="304"/>
        <v>0</v>
      </c>
      <c r="AT279" s="551"/>
      <c r="AU279" s="484">
        <f t="shared" si="299"/>
        <v>0</v>
      </c>
      <c r="AV279" s="489"/>
      <c r="AW279" s="551"/>
      <c r="AX279" s="537"/>
      <c r="BG279" s="488">
        <f t="shared" si="303"/>
        <v>78908.206739999994</v>
      </c>
    </row>
    <row r="280" spans="1:59" s="82" customFormat="1" ht="59.25" customHeight="1">
      <c r="A280" s="582">
        <v>1</v>
      </c>
      <c r="B280" s="560" t="s">
        <v>488</v>
      </c>
      <c r="C280" s="494" t="s">
        <v>487</v>
      </c>
      <c r="D280" s="494"/>
      <c r="E280" s="494"/>
      <c r="F280" s="494"/>
      <c r="G280" s="494"/>
      <c r="H280" s="494"/>
      <c r="I280" s="494"/>
      <c r="J280" s="495" t="s">
        <v>489</v>
      </c>
      <c r="K280" s="496">
        <v>112516</v>
      </c>
      <c r="L280" s="496">
        <v>10390</v>
      </c>
      <c r="M280" s="496">
        <v>112516</v>
      </c>
      <c r="N280" s="496">
        <v>112516</v>
      </c>
      <c r="O280" s="496">
        <v>112516</v>
      </c>
      <c r="P280" s="496">
        <v>112516</v>
      </c>
      <c r="Q280" s="496">
        <f t="shared" ref="Q280:R280" si="305">M280+X280</f>
        <v>112516</v>
      </c>
      <c r="R280" s="496">
        <f t="shared" si="305"/>
        <v>112516</v>
      </c>
      <c r="S280" s="496">
        <v>5700</v>
      </c>
      <c r="T280" s="496">
        <v>5390</v>
      </c>
      <c r="U280" s="496">
        <v>4993</v>
      </c>
      <c r="V280" s="496">
        <v>397</v>
      </c>
      <c r="W280" s="496">
        <f>112516+3895</f>
        <v>116411</v>
      </c>
      <c r="X280" s="496"/>
      <c r="Y280" s="496"/>
      <c r="Z280" s="496"/>
      <c r="AA280" s="496"/>
      <c r="AB280" s="520">
        <v>3894.7932599999999</v>
      </c>
      <c r="AC280" s="520">
        <v>3894.7932599999999</v>
      </c>
      <c r="AD280" s="520">
        <v>3497.7932599999999</v>
      </c>
      <c r="AE280" s="520">
        <v>397</v>
      </c>
      <c r="AF280" s="520">
        <v>3397</v>
      </c>
      <c r="AG280" s="520">
        <v>3397</v>
      </c>
      <c r="AH280" s="496">
        <f t="shared" ref="AH280:AI280" si="306">X280+AB280</f>
        <v>3894.7932599999999</v>
      </c>
      <c r="AI280" s="496">
        <f t="shared" si="306"/>
        <v>3894.7932599999999</v>
      </c>
      <c r="AJ280" s="496"/>
      <c r="AK280" s="496"/>
      <c r="AL280" s="496">
        <f>AM280</f>
        <v>1495.2067400000001</v>
      </c>
      <c r="AM280" s="496">
        <f>T280-AI280</f>
        <v>1495.2067400000001</v>
      </c>
      <c r="AN280" s="496">
        <f>AM280</f>
        <v>1495.2067400000001</v>
      </c>
      <c r="AO280" s="496">
        <f t="shared" ref="AO280" si="307">AS280</f>
        <v>0</v>
      </c>
      <c r="AP280" s="520">
        <f>AQ280</f>
        <v>1495</v>
      </c>
      <c r="AQ280" s="520">
        <v>1495</v>
      </c>
      <c r="AR280" s="520"/>
      <c r="AS280" s="520"/>
      <c r="AT280" s="536"/>
      <c r="AU280" s="484">
        <f t="shared" si="299"/>
        <v>0</v>
      </c>
      <c r="AV280" s="484">
        <f>V280-AA280</f>
        <v>397</v>
      </c>
      <c r="AW280" s="536"/>
      <c r="AX280" s="548"/>
      <c r="BG280" s="488">
        <f t="shared" si="303"/>
        <v>0.20674000000008164</v>
      </c>
    </row>
    <row r="281" spans="1:59" s="81" customFormat="1" ht="59.25" customHeight="1">
      <c r="A281" s="566">
        <v>2</v>
      </c>
      <c r="B281" s="518" t="s">
        <v>790</v>
      </c>
      <c r="C281" s="651" t="s">
        <v>487</v>
      </c>
      <c r="D281" s="608"/>
      <c r="E281" s="651" t="s">
        <v>1007</v>
      </c>
      <c r="F281" s="608"/>
      <c r="G281" s="608"/>
      <c r="H281" s="517" t="s">
        <v>791</v>
      </c>
      <c r="I281" s="652" t="s">
        <v>792</v>
      </c>
      <c r="J281" s="653" t="s">
        <v>1070</v>
      </c>
      <c r="K281" s="654">
        <v>439300</v>
      </c>
      <c r="L281" s="654">
        <v>70000</v>
      </c>
      <c r="M281" s="519"/>
      <c r="N281" s="519"/>
      <c r="O281" s="519"/>
      <c r="P281" s="519"/>
      <c r="Q281" s="496"/>
      <c r="R281" s="496"/>
      <c r="S281" s="496">
        <f>T281</f>
        <v>34000</v>
      </c>
      <c r="T281" s="496">
        <v>34000</v>
      </c>
      <c r="U281" s="482"/>
      <c r="V281" s="482"/>
      <c r="W281" s="496">
        <v>310000</v>
      </c>
      <c r="X281" s="519"/>
      <c r="Y281" s="519"/>
      <c r="Z281" s="519"/>
      <c r="AA281" s="519"/>
      <c r="AB281" s="519"/>
      <c r="AC281" s="519"/>
      <c r="AD281" s="519"/>
      <c r="AE281" s="519"/>
      <c r="AF281" s="519"/>
      <c r="AG281" s="519"/>
      <c r="AH281" s="496"/>
      <c r="AI281" s="496"/>
      <c r="AJ281" s="496"/>
      <c r="AK281" s="496"/>
      <c r="AL281" s="496">
        <v>84908</v>
      </c>
      <c r="AM281" s="496">
        <f>AL281</f>
        <v>84908</v>
      </c>
      <c r="AN281" s="482"/>
      <c r="AO281" s="482"/>
      <c r="AP281" s="520">
        <f>AQ281</f>
        <v>6000</v>
      </c>
      <c r="AQ281" s="520">
        <v>6000</v>
      </c>
      <c r="AR281" s="519"/>
      <c r="AS281" s="519"/>
      <c r="AT281" s="600" t="s">
        <v>1087</v>
      </c>
      <c r="AU281" s="484"/>
      <c r="AV281" s="484"/>
      <c r="AW281" s="600"/>
      <c r="AX281" s="486"/>
      <c r="AY281" s="487"/>
      <c r="AZ281" s="487"/>
      <c r="BA281" s="487"/>
      <c r="BG281" s="488"/>
    </row>
    <row r="282" spans="1:59" s="80" customFormat="1" ht="59.25" customHeight="1">
      <c r="A282" s="478" t="s">
        <v>46</v>
      </c>
      <c r="B282" s="539" t="s">
        <v>287</v>
      </c>
      <c r="C282" s="526"/>
      <c r="D282" s="526"/>
      <c r="E282" s="526"/>
      <c r="F282" s="526"/>
      <c r="G282" s="526"/>
      <c r="H282" s="526"/>
      <c r="I282" s="526"/>
      <c r="J282" s="527"/>
      <c r="K282" s="525">
        <f>K283</f>
        <v>12400</v>
      </c>
      <c r="L282" s="525">
        <f t="shared" ref="L282:AS283" si="308">L283</f>
        <v>12400</v>
      </c>
      <c r="M282" s="525">
        <f t="shared" si="308"/>
        <v>0</v>
      </c>
      <c r="N282" s="525">
        <f t="shared" si="308"/>
        <v>0</v>
      </c>
      <c r="O282" s="525">
        <f t="shared" si="308"/>
        <v>0</v>
      </c>
      <c r="P282" s="525">
        <f t="shared" si="308"/>
        <v>0</v>
      </c>
      <c r="Q282" s="525">
        <f t="shared" si="308"/>
        <v>4299</v>
      </c>
      <c r="R282" s="525">
        <f t="shared" si="308"/>
        <v>4299</v>
      </c>
      <c r="S282" s="525">
        <f t="shared" si="308"/>
        <v>12400</v>
      </c>
      <c r="T282" s="525">
        <f t="shared" si="308"/>
        <v>12400</v>
      </c>
      <c r="U282" s="525">
        <f t="shared" si="308"/>
        <v>0</v>
      </c>
      <c r="V282" s="525">
        <f t="shared" si="308"/>
        <v>0</v>
      </c>
      <c r="W282" s="525">
        <f t="shared" si="308"/>
        <v>7799</v>
      </c>
      <c r="X282" s="525">
        <f t="shared" si="308"/>
        <v>4299</v>
      </c>
      <c r="Y282" s="525">
        <f t="shared" si="308"/>
        <v>4299</v>
      </c>
      <c r="Z282" s="525">
        <f t="shared" si="308"/>
        <v>0</v>
      </c>
      <c r="AA282" s="525">
        <f t="shared" si="308"/>
        <v>0</v>
      </c>
      <c r="AB282" s="525">
        <f t="shared" si="308"/>
        <v>3500</v>
      </c>
      <c r="AC282" s="525">
        <f t="shared" si="308"/>
        <v>3500</v>
      </c>
      <c r="AD282" s="525">
        <f t="shared" si="308"/>
        <v>0</v>
      </c>
      <c r="AE282" s="525">
        <f t="shared" si="308"/>
        <v>0</v>
      </c>
      <c r="AF282" s="525">
        <f t="shared" si="308"/>
        <v>2168.107</v>
      </c>
      <c r="AG282" s="525">
        <f t="shared" si="308"/>
        <v>2168.107</v>
      </c>
      <c r="AH282" s="525">
        <f t="shared" si="308"/>
        <v>7799</v>
      </c>
      <c r="AI282" s="525">
        <f t="shared" si="308"/>
        <v>7799</v>
      </c>
      <c r="AJ282" s="525"/>
      <c r="AK282" s="525"/>
      <c r="AL282" s="525">
        <f t="shared" si="308"/>
        <v>4601</v>
      </c>
      <c r="AM282" s="525">
        <f t="shared" si="308"/>
        <v>4601</v>
      </c>
      <c r="AN282" s="525">
        <f t="shared" si="308"/>
        <v>0</v>
      </c>
      <c r="AO282" s="525">
        <f t="shared" si="308"/>
        <v>0</v>
      </c>
      <c r="AP282" s="525">
        <f t="shared" si="308"/>
        <v>4600</v>
      </c>
      <c r="AQ282" s="525">
        <f t="shared" si="308"/>
        <v>4600</v>
      </c>
      <c r="AR282" s="525">
        <f t="shared" si="308"/>
        <v>0</v>
      </c>
      <c r="AS282" s="525">
        <f t="shared" si="308"/>
        <v>0</v>
      </c>
      <c r="AT282" s="526"/>
      <c r="AU282" s="484">
        <f t="shared" si="299"/>
        <v>0</v>
      </c>
      <c r="AV282" s="501"/>
      <c r="AW282" s="541"/>
      <c r="AX282" s="542"/>
      <c r="BG282" s="488">
        <f t="shared" si="303"/>
        <v>1</v>
      </c>
    </row>
    <row r="283" spans="1:59" s="80" customFormat="1" ht="59.25" customHeight="1">
      <c r="A283" s="556" t="s">
        <v>35</v>
      </c>
      <c r="B283" s="557" t="s">
        <v>743</v>
      </c>
      <c r="C283" s="526"/>
      <c r="D283" s="526"/>
      <c r="E283" s="526"/>
      <c r="F283" s="526"/>
      <c r="G283" s="526"/>
      <c r="H283" s="526"/>
      <c r="I283" s="526"/>
      <c r="J283" s="527"/>
      <c r="K283" s="525">
        <f>K284</f>
        <v>12400</v>
      </c>
      <c r="L283" s="525">
        <f t="shared" si="308"/>
        <v>12400</v>
      </c>
      <c r="M283" s="525">
        <f t="shared" si="308"/>
        <v>0</v>
      </c>
      <c r="N283" s="525">
        <f t="shared" si="308"/>
        <v>0</v>
      </c>
      <c r="O283" s="525">
        <f t="shared" si="308"/>
        <v>0</v>
      </c>
      <c r="P283" s="525">
        <f t="shared" si="308"/>
        <v>0</v>
      </c>
      <c r="Q283" s="525">
        <f t="shared" si="308"/>
        <v>4299</v>
      </c>
      <c r="R283" s="525">
        <f t="shared" si="308"/>
        <v>4299</v>
      </c>
      <c r="S283" s="525">
        <f t="shared" si="308"/>
        <v>12400</v>
      </c>
      <c r="T283" s="525">
        <f t="shared" si="308"/>
        <v>12400</v>
      </c>
      <c r="U283" s="525">
        <f t="shared" si="308"/>
        <v>0</v>
      </c>
      <c r="V283" s="525">
        <f t="shared" si="308"/>
        <v>0</v>
      </c>
      <c r="W283" s="525">
        <f t="shared" si="308"/>
        <v>7799</v>
      </c>
      <c r="X283" s="525">
        <f t="shared" si="308"/>
        <v>4299</v>
      </c>
      <c r="Y283" s="525">
        <f t="shared" si="308"/>
        <v>4299</v>
      </c>
      <c r="Z283" s="525">
        <f t="shared" si="308"/>
        <v>0</v>
      </c>
      <c r="AA283" s="525">
        <f t="shared" si="308"/>
        <v>0</v>
      </c>
      <c r="AB283" s="525">
        <f t="shared" si="308"/>
        <v>3500</v>
      </c>
      <c r="AC283" s="525">
        <f t="shared" si="308"/>
        <v>3500</v>
      </c>
      <c r="AD283" s="525">
        <f t="shared" si="308"/>
        <v>0</v>
      </c>
      <c r="AE283" s="525">
        <f t="shared" si="308"/>
        <v>0</v>
      </c>
      <c r="AF283" s="525">
        <f t="shared" si="308"/>
        <v>2168.107</v>
      </c>
      <c r="AG283" s="525">
        <f t="shared" si="308"/>
        <v>2168.107</v>
      </c>
      <c r="AH283" s="525">
        <f t="shared" si="308"/>
        <v>7799</v>
      </c>
      <c r="AI283" s="525">
        <f t="shared" si="308"/>
        <v>7799</v>
      </c>
      <c r="AJ283" s="525"/>
      <c r="AK283" s="525"/>
      <c r="AL283" s="525">
        <f t="shared" si="308"/>
        <v>4601</v>
      </c>
      <c r="AM283" s="525">
        <f t="shared" si="308"/>
        <v>4601</v>
      </c>
      <c r="AN283" s="525">
        <f t="shared" si="308"/>
        <v>0</v>
      </c>
      <c r="AO283" s="525">
        <f t="shared" si="308"/>
        <v>0</v>
      </c>
      <c r="AP283" s="525">
        <f t="shared" si="308"/>
        <v>4600</v>
      </c>
      <c r="AQ283" s="525">
        <f t="shared" si="308"/>
        <v>4600</v>
      </c>
      <c r="AR283" s="525">
        <f t="shared" si="308"/>
        <v>0</v>
      </c>
      <c r="AS283" s="525">
        <f t="shared" si="308"/>
        <v>0</v>
      </c>
      <c r="AT283" s="526"/>
      <c r="AU283" s="484">
        <f t="shared" si="299"/>
        <v>0</v>
      </c>
      <c r="AV283" s="501"/>
      <c r="AW283" s="541"/>
      <c r="AX283" s="542"/>
      <c r="BG283" s="488">
        <f t="shared" si="303"/>
        <v>1</v>
      </c>
    </row>
    <row r="284" spans="1:59" s="82" customFormat="1" ht="59.25" customHeight="1">
      <c r="A284" s="484">
        <v>1</v>
      </c>
      <c r="B284" s="518" t="s">
        <v>566</v>
      </c>
      <c r="C284" s="494" t="s">
        <v>487</v>
      </c>
      <c r="D284" s="494"/>
      <c r="E284" s="494" t="s">
        <v>988</v>
      </c>
      <c r="F284" s="494"/>
      <c r="G284" s="494"/>
      <c r="H284" s="494"/>
      <c r="I284" s="494"/>
      <c r="J284" s="495" t="s">
        <v>567</v>
      </c>
      <c r="K284" s="496">
        <f>L284</f>
        <v>12400</v>
      </c>
      <c r="L284" s="496">
        <v>12400</v>
      </c>
      <c r="M284" s="496"/>
      <c r="N284" s="496"/>
      <c r="O284" s="496"/>
      <c r="P284" s="496"/>
      <c r="Q284" s="496">
        <f t="shared" si="272"/>
        <v>4299</v>
      </c>
      <c r="R284" s="496">
        <f t="shared" si="273"/>
        <v>4299</v>
      </c>
      <c r="S284" s="496">
        <f>T284</f>
        <v>12400</v>
      </c>
      <c r="T284" s="496">
        <v>12400</v>
      </c>
      <c r="U284" s="496"/>
      <c r="V284" s="496"/>
      <c r="W284" s="496">
        <f>4299+3500</f>
        <v>7799</v>
      </c>
      <c r="X284" s="496">
        <v>4299</v>
      </c>
      <c r="Y284" s="496">
        <v>4299</v>
      </c>
      <c r="Z284" s="496"/>
      <c r="AA284" s="496"/>
      <c r="AB284" s="520">
        <v>3500</v>
      </c>
      <c r="AC284" s="520">
        <v>3500</v>
      </c>
      <c r="AD284" s="496"/>
      <c r="AE284" s="496"/>
      <c r="AF284" s="547">
        <v>2168.107</v>
      </c>
      <c r="AG284" s="547">
        <v>2168.107</v>
      </c>
      <c r="AH284" s="496">
        <f t="shared" si="278"/>
        <v>7799</v>
      </c>
      <c r="AI284" s="496">
        <f t="shared" si="279"/>
        <v>7799</v>
      </c>
      <c r="AJ284" s="496"/>
      <c r="AK284" s="496"/>
      <c r="AL284" s="496">
        <f>AM284</f>
        <v>4601</v>
      </c>
      <c r="AM284" s="496">
        <f>T284-AI284</f>
        <v>4601</v>
      </c>
      <c r="AN284" s="496">
        <f t="shared" ref="AN284:AN310" si="309">AR284</f>
        <v>0</v>
      </c>
      <c r="AO284" s="496"/>
      <c r="AP284" s="496">
        <f>AQ284</f>
        <v>4600</v>
      </c>
      <c r="AQ284" s="496">
        <v>4600</v>
      </c>
      <c r="AR284" s="496"/>
      <c r="AS284" s="496"/>
      <c r="AT284" s="536" t="s">
        <v>434</v>
      </c>
      <c r="AU284" s="484">
        <f t="shared" si="299"/>
        <v>0</v>
      </c>
      <c r="AV284" s="484">
        <f t="shared" si="259"/>
        <v>0</v>
      </c>
      <c r="AW284" s="536"/>
      <c r="AX284" s="548"/>
      <c r="BG284" s="488">
        <f t="shared" si="303"/>
        <v>1</v>
      </c>
    </row>
    <row r="285" spans="1:59" s="81" customFormat="1" ht="59.25" customHeight="1">
      <c r="A285" s="478" t="s">
        <v>279</v>
      </c>
      <c r="B285" s="539" t="s">
        <v>288</v>
      </c>
      <c r="C285" s="480"/>
      <c r="D285" s="480"/>
      <c r="E285" s="480"/>
      <c r="F285" s="480"/>
      <c r="G285" s="480"/>
      <c r="H285" s="480"/>
      <c r="I285" s="480"/>
      <c r="J285" s="481"/>
      <c r="K285" s="482">
        <f>K286</f>
        <v>18000</v>
      </c>
      <c r="L285" s="482">
        <f t="shared" ref="L285:AS285" si="310">L286</f>
        <v>18000</v>
      </c>
      <c r="M285" s="482">
        <f t="shared" si="310"/>
        <v>0</v>
      </c>
      <c r="N285" s="482">
        <f t="shared" si="310"/>
        <v>0</v>
      </c>
      <c r="O285" s="482">
        <f t="shared" si="310"/>
        <v>0</v>
      </c>
      <c r="P285" s="482">
        <f t="shared" si="310"/>
        <v>0</v>
      </c>
      <c r="Q285" s="482">
        <f t="shared" si="310"/>
        <v>234</v>
      </c>
      <c r="R285" s="482">
        <f t="shared" si="310"/>
        <v>234</v>
      </c>
      <c r="S285" s="482">
        <f t="shared" si="310"/>
        <v>18000</v>
      </c>
      <c r="T285" s="482">
        <f t="shared" si="310"/>
        <v>18000</v>
      </c>
      <c r="U285" s="482">
        <f t="shared" si="310"/>
        <v>0</v>
      </c>
      <c r="V285" s="482">
        <f t="shared" si="310"/>
        <v>0</v>
      </c>
      <c r="W285" s="482">
        <f t="shared" si="310"/>
        <v>6743</v>
      </c>
      <c r="X285" s="482">
        <f t="shared" si="310"/>
        <v>234</v>
      </c>
      <c r="Y285" s="482">
        <f t="shared" si="310"/>
        <v>234</v>
      </c>
      <c r="Z285" s="482">
        <f t="shared" si="310"/>
        <v>0</v>
      </c>
      <c r="AA285" s="482">
        <f t="shared" si="310"/>
        <v>0</v>
      </c>
      <c r="AB285" s="482">
        <f t="shared" si="310"/>
        <v>6613</v>
      </c>
      <c r="AC285" s="482">
        <f t="shared" si="310"/>
        <v>6613</v>
      </c>
      <c r="AD285" s="482">
        <f t="shared" si="310"/>
        <v>0</v>
      </c>
      <c r="AE285" s="482">
        <f t="shared" si="310"/>
        <v>0</v>
      </c>
      <c r="AF285" s="482">
        <f t="shared" si="310"/>
        <v>13.504</v>
      </c>
      <c r="AG285" s="482">
        <f t="shared" si="310"/>
        <v>2200</v>
      </c>
      <c r="AH285" s="482">
        <f t="shared" si="310"/>
        <v>6847</v>
      </c>
      <c r="AI285" s="482">
        <f t="shared" si="310"/>
        <v>6847</v>
      </c>
      <c r="AJ285" s="482"/>
      <c r="AK285" s="482"/>
      <c r="AL285" s="482">
        <f t="shared" si="310"/>
        <v>6347</v>
      </c>
      <c r="AM285" s="482">
        <f t="shared" si="310"/>
        <v>6347</v>
      </c>
      <c r="AN285" s="482">
        <f t="shared" si="310"/>
        <v>0</v>
      </c>
      <c r="AO285" s="482">
        <f t="shared" si="310"/>
        <v>0</v>
      </c>
      <c r="AP285" s="482">
        <f t="shared" si="310"/>
        <v>6347</v>
      </c>
      <c r="AQ285" s="482">
        <f t="shared" si="310"/>
        <v>6347</v>
      </c>
      <c r="AR285" s="482">
        <f t="shared" si="310"/>
        <v>0</v>
      </c>
      <c r="AS285" s="482">
        <f t="shared" si="310"/>
        <v>0</v>
      </c>
      <c r="AT285" s="551"/>
      <c r="AU285" s="484">
        <f t="shared" si="299"/>
        <v>0</v>
      </c>
      <c r="AV285" s="489"/>
      <c r="AW285" s="551"/>
      <c r="AX285" s="537"/>
      <c r="BG285" s="488">
        <f t="shared" si="303"/>
        <v>0</v>
      </c>
    </row>
    <row r="286" spans="1:59" s="80" customFormat="1" ht="59.25" customHeight="1">
      <c r="A286" s="556" t="s">
        <v>35</v>
      </c>
      <c r="B286" s="557" t="s">
        <v>743</v>
      </c>
      <c r="C286" s="526"/>
      <c r="D286" s="526"/>
      <c r="E286" s="526"/>
      <c r="F286" s="526"/>
      <c r="G286" s="526"/>
      <c r="H286" s="526"/>
      <c r="I286" s="526"/>
      <c r="J286" s="527"/>
      <c r="K286" s="602">
        <f>K287+K288</f>
        <v>18000</v>
      </c>
      <c r="L286" s="602">
        <f t="shared" ref="L286:AS286" si="311">L287+L288</f>
        <v>18000</v>
      </c>
      <c r="M286" s="602">
        <f t="shared" si="311"/>
        <v>0</v>
      </c>
      <c r="N286" s="602">
        <f t="shared" si="311"/>
        <v>0</v>
      </c>
      <c r="O286" s="602">
        <f t="shared" si="311"/>
        <v>0</v>
      </c>
      <c r="P286" s="602">
        <f t="shared" si="311"/>
        <v>0</v>
      </c>
      <c r="Q286" s="602">
        <f t="shared" si="311"/>
        <v>234</v>
      </c>
      <c r="R286" s="602">
        <f t="shared" si="311"/>
        <v>234</v>
      </c>
      <c r="S286" s="602">
        <f t="shared" si="311"/>
        <v>18000</v>
      </c>
      <c r="T286" s="602">
        <f t="shared" si="311"/>
        <v>18000</v>
      </c>
      <c r="U286" s="602">
        <f t="shared" si="311"/>
        <v>0</v>
      </c>
      <c r="V286" s="602">
        <f t="shared" si="311"/>
        <v>0</v>
      </c>
      <c r="W286" s="602">
        <f t="shared" ref="W286" si="312">W287+W288</f>
        <v>6743</v>
      </c>
      <c r="X286" s="602">
        <f t="shared" si="311"/>
        <v>234</v>
      </c>
      <c r="Y286" s="602">
        <f t="shared" si="311"/>
        <v>234</v>
      </c>
      <c r="Z286" s="602">
        <f t="shared" si="311"/>
        <v>0</v>
      </c>
      <c r="AA286" s="602">
        <f t="shared" si="311"/>
        <v>0</v>
      </c>
      <c r="AB286" s="602">
        <f t="shared" si="311"/>
        <v>6613</v>
      </c>
      <c r="AC286" s="602">
        <f t="shared" si="311"/>
        <v>6613</v>
      </c>
      <c r="AD286" s="602">
        <f t="shared" si="311"/>
        <v>0</v>
      </c>
      <c r="AE286" s="602">
        <f t="shared" si="311"/>
        <v>0</v>
      </c>
      <c r="AF286" s="602">
        <f t="shared" si="311"/>
        <v>13.504</v>
      </c>
      <c r="AG286" s="602">
        <f t="shared" si="311"/>
        <v>2200</v>
      </c>
      <c r="AH286" s="602">
        <f t="shared" si="311"/>
        <v>6847</v>
      </c>
      <c r="AI286" s="602">
        <f t="shared" si="311"/>
        <v>6847</v>
      </c>
      <c r="AJ286" s="602"/>
      <c r="AK286" s="602"/>
      <c r="AL286" s="602">
        <f t="shared" si="311"/>
        <v>6347</v>
      </c>
      <c r="AM286" s="602">
        <f t="shared" si="311"/>
        <v>6347</v>
      </c>
      <c r="AN286" s="602">
        <f t="shared" si="311"/>
        <v>0</v>
      </c>
      <c r="AO286" s="602">
        <f t="shared" si="311"/>
        <v>0</v>
      </c>
      <c r="AP286" s="602">
        <f t="shared" si="311"/>
        <v>6347</v>
      </c>
      <c r="AQ286" s="602">
        <f>AQ287+AQ288</f>
        <v>6347</v>
      </c>
      <c r="AR286" s="602">
        <f t="shared" si="311"/>
        <v>0</v>
      </c>
      <c r="AS286" s="602">
        <f t="shared" si="311"/>
        <v>0</v>
      </c>
      <c r="AT286" s="603"/>
      <c r="AU286" s="484">
        <f t="shared" si="299"/>
        <v>0</v>
      </c>
      <c r="AV286" s="523"/>
      <c r="AW286" s="603"/>
      <c r="AX286" s="542"/>
      <c r="BG286" s="488">
        <f t="shared" si="303"/>
        <v>0</v>
      </c>
    </row>
    <row r="287" spans="1:59" s="510" customFormat="1" ht="59.25" customHeight="1">
      <c r="A287" s="484">
        <v>1</v>
      </c>
      <c r="B287" s="632" t="s">
        <v>568</v>
      </c>
      <c r="C287" s="494" t="s">
        <v>487</v>
      </c>
      <c r="D287" s="494"/>
      <c r="E287" s="494" t="s">
        <v>987</v>
      </c>
      <c r="F287" s="494"/>
      <c r="G287" s="494"/>
      <c r="H287" s="503"/>
      <c r="I287" s="494" t="s">
        <v>811</v>
      </c>
      <c r="J287" s="495" t="s">
        <v>569</v>
      </c>
      <c r="K287" s="520">
        <v>10000</v>
      </c>
      <c r="L287" s="520">
        <v>10000</v>
      </c>
      <c r="M287" s="496"/>
      <c r="N287" s="496"/>
      <c r="O287" s="496"/>
      <c r="P287" s="496"/>
      <c r="Q287" s="496">
        <f t="shared" si="272"/>
        <v>130</v>
      </c>
      <c r="R287" s="496">
        <f t="shared" si="273"/>
        <v>130</v>
      </c>
      <c r="S287" s="496">
        <f>T287</f>
        <v>10000</v>
      </c>
      <c r="T287" s="496">
        <v>10000</v>
      </c>
      <c r="U287" s="496"/>
      <c r="V287" s="496"/>
      <c r="W287" s="496">
        <f>130+4413</f>
        <v>4543</v>
      </c>
      <c r="X287" s="496">
        <v>130</v>
      </c>
      <c r="Y287" s="496">
        <v>130</v>
      </c>
      <c r="Z287" s="496"/>
      <c r="AA287" s="496"/>
      <c r="AB287" s="496">
        <f>AC287</f>
        <v>4413</v>
      </c>
      <c r="AC287" s="496">
        <f>3000+1413</f>
        <v>4413</v>
      </c>
      <c r="AD287" s="496"/>
      <c r="AE287" s="496"/>
      <c r="AF287" s="496"/>
      <c r="AG287" s="496"/>
      <c r="AH287" s="496">
        <f t="shared" si="278"/>
        <v>4543</v>
      </c>
      <c r="AI287" s="496">
        <f t="shared" si="279"/>
        <v>4543</v>
      </c>
      <c r="AJ287" s="496"/>
      <c r="AK287" s="496"/>
      <c r="AL287" s="496">
        <f t="shared" ref="AL287:AL310" si="313">AP287</f>
        <v>2847</v>
      </c>
      <c r="AM287" s="496">
        <f t="shared" ref="AM287:AM310" si="314">AQ287</f>
        <v>2847</v>
      </c>
      <c r="AN287" s="496">
        <f t="shared" si="309"/>
        <v>0</v>
      </c>
      <c r="AO287" s="496">
        <f t="shared" ref="AO287:AO310" si="315">AS287</f>
        <v>0</v>
      </c>
      <c r="AP287" s="496">
        <f>AQ287</f>
        <v>2847</v>
      </c>
      <c r="AQ287" s="496">
        <v>2847</v>
      </c>
      <c r="AR287" s="496"/>
      <c r="AS287" s="496"/>
      <c r="AT287" s="494"/>
      <c r="AU287" s="484">
        <f t="shared" si="299"/>
        <v>0</v>
      </c>
      <c r="AV287" s="484">
        <f t="shared" si="259"/>
        <v>0</v>
      </c>
      <c r="AW287" s="562"/>
      <c r="AX287" s="572"/>
      <c r="BG287" s="488">
        <f t="shared" si="303"/>
        <v>0</v>
      </c>
    </row>
    <row r="288" spans="1:59" s="510" customFormat="1" ht="59.25" customHeight="1">
      <c r="A288" s="484">
        <v>2</v>
      </c>
      <c r="B288" s="518" t="s">
        <v>570</v>
      </c>
      <c r="C288" s="494" t="s">
        <v>487</v>
      </c>
      <c r="D288" s="494"/>
      <c r="E288" s="629" t="s">
        <v>998</v>
      </c>
      <c r="F288" s="494"/>
      <c r="G288" s="494"/>
      <c r="H288" s="503"/>
      <c r="I288" s="503"/>
      <c r="J288" s="563" t="s">
        <v>571</v>
      </c>
      <c r="K288" s="496">
        <v>8000</v>
      </c>
      <c r="L288" s="496">
        <v>8000</v>
      </c>
      <c r="M288" s="496"/>
      <c r="N288" s="496"/>
      <c r="O288" s="496"/>
      <c r="P288" s="496"/>
      <c r="Q288" s="496">
        <f t="shared" si="272"/>
        <v>104</v>
      </c>
      <c r="R288" s="496">
        <f t="shared" si="273"/>
        <v>104</v>
      </c>
      <c r="S288" s="496">
        <f>T288</f>
        <v>8000</v>
      </c>
      <c r="T288" s="496">
        <v>8000</v>
      </c>
      <c r="U288" s="496"/>
      <c r="V288" s="496"/>
      <c r="W288" s="496">
        <v>2200</v>
      </c>
      <c r="X288" s="496">
        <v>104</v>
      </c>
      <c r="Y288" s="496">
        <v>104</v>
      </c>
      <c r="Z288" s="496"/>
      <c r="AA288" s="496"/>
      <c r="AB288" s="496">
        <v>2200</v>
      </c>
      <c r="AC288" s="496">
        <v>2200</v>
      </c>
      <c r="AD288" s="496"/>
      <c r="AE288" s="496"/>
      <c r="AF288" s="547">
        <v>13.504</v>
      </c>
      <c r="AG288" s="547">
        <v>2200</v>
      </c>
      <c r="AH288" s="496">
        <f t="shared" si="278"/>
        <v>2304</v>
      </c>
      <c r="AI288" s="496">
        <f t="shared" si="279"/>
        <v>2304</v>
      </c>
      <c r="AJ288" s="496"/>
      <c r="AK288" s="496"/>
      <c r="AL288" s="496">
        <f t="shared" si="313"/>
        <v>3500</v>
      </c>
      <c r="AM288" s="496">
        <f t="shared" si="314"/>
        <v>3500</v>
      </c>
      <c r="AN288" s="496">
        <f t="shared" si="309"/>
        <v>0</v>
      </c>
      <c r="AO288" s="496">
        <f t="shared" si="315"/>
        <v>0</v>
      </c>
      <c r="AP288" s="496">
        <f>AQ288</f>
        <v>3500</v>
      </c>
      <c r="AQ288" s="496">
        <v>3500</v>
      </c>
      <c r="AR288" s="496"/>
      <c r="AS288" s="496"/>
      <c r="AT288" s="494"/>
      <c r="AU288" s="484">
        <f t="shared" si="299"/>
        <v>0</v>
      </c>
      <c r="AV288" s="484">
        <f t="shared" si="259"/>
        <v>0</v>
      </c>
      <c r="AW288" s="562"/>
      <c r="AX288" s="572"/>
      <c r="BG288" s="488">
        <f t="shared" si="303"/>
        <v>0</v>
      </c>
    </row>
    <row r="289" spans="1:59" s="80" customFormat="1" ht="59.25" customHeight="1">
      <c r="A289" s="478" t="s">
        <v>280</v>
      </c>
      <c r="B289" s="539" t="s">
        <v>289</v>
      </c>
      <c r="C289" s="615"/>
      <c r="D289" s="615"/>
      <c r="E289" s="615"/>
      <c r="F289" s="615"/>
      <c r="G289" s="615"/>
      <c r="H289" s="615"/>
      <c r="I289" s="615"/>
      <c r="J289" s="527"/>
      <c r="K289" s="602">
        <f>K290</f>
        <v>77092</v>
      </c>
      <c r="L289" s="602">
        <f t="shared" ref="L289:AS289" si="316">L290</f>
        <v>65500</v>
      </c>
      <c r="M289" s="602">
        <f t="shared" si="316"/>
        <v>0</v>
      </c>
      <c r="N289" s="602">
        <f t="shared" si="316"/>
        <v>0</v>
      </c>
      <c r="O289" s="602">
        <f t="shared" si="316"/>
        <v>0</v>
      </c>
      <c r="P289" s="602">
        <f t="shared" si="316"/>
        <v>0</v>
      </c>
      <c r="Q289" s="602">
        <f t="shared" si="316"/>
        <v>684</v>
      </c>
      <c r="R289" s="602">
        <f t="shared" si="316"/>
        <v>684</v>
      </c>
      <c r="S289" s="602">
        <f t="shared" si="316"/>
        <v>71392</v>
      </c>
      <c r="T289" s="602">
        <f t="shared" si="316"/>
        <v>59800</v>
      </c>
      <c r="U289" s="602">
        <f t="shared" si="316"/>
        <v>0</v>
      </c>
      <c r="V289" s="602">
        <f t="shared" si="316"/>
        <v>0</v>
      </c>
      <c r="W289" s="602">
        <f t="shared" si="316"/>
        <v>2645</v>
      </c>
      <c r="X289" s="602">
        <f t="shared" si="316"/>
        <v>684</v>
      </c>
      <c r="Y289" s="602">
        <f t="shared" si="316"/>
        <v>684</v>
      </c>
      <c r="Z289" s="602">
        <f t="shared" si="316"/>
        <v>0</v>
      </c>
      <c r="AA289" s="602">
        <f t="shared" si="316"/>
        <v>0</v>
      </c>
      <c r="AB289" s="602">
        <f t="shared" si="316"/>
        <v>2695</v>
      </c>
      <c r="AC289" s="602">
        <f t="shared" si="316"/>
        <v>2695</v>
      </c>
      <c r="AD289" s="602">
        <f t="shared" si="316"/>
        <v>0</v>
      </c>
      <c r="AE289" s="602">
        <f t="shared" si="316"/>
        <v>0</v>
      </c>
      <c r="AF289" s="602">
        <f t="shared" si="316"/>
        <v>0</v>
      </c>
      <c r="AG289" s="602">
        <f t="shared" si="316"/>
        <v>0</v>
      </c>
      <c r="AH289" s="602">
        <f t="shared" si="316"/>
        <v>3379</v>
      </c>
      <c r="AI289" s="602">
        <f t="shared" si="316"/>
        <v>3379</v>
      </c>
      <c r="AJ289" s="602"/>
      <c r="AK289" s="602"/>
      <c r="AL289" s="602">
        <f t="shared" si="316"/>
        <v>17745</v>
      </c>
      <c r="AM289" s="602">
        <f t="shared" si="316"/>
        <v>16245</v>
      </c>
      <c r="AN289" s="602" t="e">
        <f t="shared" si="316"/>
        <v>#REF!</v>
      </c>
      <c r="AO289" s="602">
        <f t="shared" si="316"/>
        <v>0</v>
      </c>
      <c r="AP289" s="602">
        <f t="shared" si="316"/>
        <v>13300</v>
      </c>
      <c r="AQ289" s="602">
        <f t="shared" si="316"/>
        <v>13300</v>
      </c>
      <c r="AR289" s="602">
        <f t="shared" si="316"/>
        <v>0</v>
      </c>
      <c r="AS289" s="602">
        <f t="shared" si="316"/>
        <v>0</v>
      </c>
      <c r="AT289" s="526"/>
      <c r="AU289" s="484">
        <f t="shared" si="299"/>
        <v>0</v>
      </c>
      <c r="AV289" s="501">
        <f t="shared" si="259"/>
        <v>0</v>
      </c>
      <c r="AW289" s="526"/>
      <c r="AX289" s="531"/>
      <c r="AZ289" s="532"/>
      <c r="BA289" s="532"/>
      <c r="BG289" s="488">
        <f t="shared" si="303"/>
        <v>4445</v>
      </c>
    </row>
    <row r="290" spans="1:59" s="80" customFormat="1" ht="59.25" customHeight="1">
      <c r="A290" s="556" t="s">
        <v>35</v>
      </c>
      <c r="B290" s="557" t="s">
        <v>743</v>
      </c>
      <c r="C290" s="615"/>
      <c r="D290" s="615"/>
      <c r="E290" s="615"/>
      <c r="F290" s="615"/>
      <c r="G290" s="615"/>
      <c r="H290" s="615"/>
      <c r="I290" s="615"/>
      <c r="J290" s="527"/>
      <c r="K290" s="602">
        <f t="shared" ref="K290:AI290" si="317">SUM(K291:K295)</f>
        <v>77092</v>
      </c>
      <c r="L290" s="602">
        <f t="shared" si="317"/>
        <v>65500</v>
      </c>
      <c r="M290" s="602">
        <f t="shared" si="317"/>
        <v>0</v>
      </c>
      <c r="N290" s="602">
        <f t="shared" si="317"/>
        <v>0</v>
      </c>
      <c r="O290" s="602">
        <f t="shared" si="317"/>
        <v>0</v>
      </c>
      <c r="P290" s="602">
        <f t="shared" si="317"/>
        <v>0</v>
      </c>
      <c r="Q290" s="602">
        <f t="shared" si="317"/>
        <v>684</v>
      </c>
      <c r="R290" s="602">
        <f t="shared" si="317"/>
        <v>684</v>
      </c>
      <c r="S290" s="602">
        <f t="shared" si="317"/>
        <v>71392</v>
      </c>
      <c r="T290" s="602">
        <f t="shared" si="317"/>
        <v>59800</v>
      </c>
      <c r="U290" s="602">
        <f t="shared" si="317"/>
        <v>0</v>
      </c>
      <c r="V290" s="602">
        <f t="shared" si="317"/>
        <v>0</v>
      </c>
      <c r="W290" s="602">
        <f t="shared" si="317"/>
        <v>2645</v>
      </c>
      <c r="X290" s="602">
        <f t="shared" si="317"/>
        <v>684</v>
      </c>
      <c r="Y290" s="602">
        <f t="shared" si="317"/>
        <v>684</v>
      </c>
      <c r="Z290" s="602">
        <f t="shared" si="317"/>
        <v>0</v>
      </c>
      <c r="AA290" s="602">
        <f t="shared" si="317"/>
        <v>0</v>
      </c>
      <c r="AB290" s="602">
        <f t="shared" si="317"/>
        <v>2695</v>
      </c>
      <c r="AC290" s="602">
        <f t="shared" si="317"/>
        <v>2695</v>
      </c>
      <c r="AD290" s="602">
        <f t="shared" si="317"/>
        <v>0</v>
      </c>
      <c r="AE290" s="602">
        <f t="shared" si="317"/>
        <v>0</v>
      </c>
      <c r="AF290" s="602">
        <f t="shared" si="317"/>
        <v>0</v>
      </c>
      <c r="AG290" s="602">
        <f t="shared" si="317"/>
        <v>0</v>
      </c>
      <c r="AH290" s="602">
        <f t="shared" si="317"/>
        <v>3379</v>
      </c>
      <c r="AI290" s="602">
        <f t="shared" si="317"/>
        <v>3379</v>
      </c>
      <c r="AJ290" s="602"/>
      <c r="AK290" s="602"/>
      <c r="AL290" s="602">
        <f t="shared" ref="AL290:AP290" si="318">SUM(AL291:AL295)</f>
        <v>17745</v>
      </c>
      <c r="AM290" s="602">
        <f t="shared" si="318"/>
        <v>16245</v>
      </c>
      <c r="AN290" s="602" t="e">
        <f t="shared" si="318"/>
        <v>#REF!</v>
      </c>
      <c r="AO290" s="602">
        <f t="shared" si="318"/>
        <v>0</v>
      </c>
      <c r="AP290" s="602">
        <f t="shared" si="318"/>
        <v>13300</v>
      </c>
      <c r="AQ290" s="602">
        <f>SUM(AQ291:AQ295)</f>
        <v>13300</v>
      </c>
      <c r="AR290" s="602">
        <f>SUM(AR291:AR294)</f>
        <v>0</v>
      </c>
      <c r="AS290" s="602">
        <f>SUM(AS291:AS294)</f>
        <v>0</v>
      </c>
      <c r="AT290" s="526"/>
      <c r="AU290" s="484">
        <f t="shared" si="299"/>
        <v>0</v>
      </c>
      <c r="AV290" s="501"/>
      <c r="AW290" s="526"/>
      <c r="AX290" s="531"/>
      <c r="AZ290" s="532"/>
      <c r="BA290" s="532"/>
      <c r="BG290" s="488">
        <f t="shared" si="303"/>
        <v>4445</v>
      </c>
    </row>
    <row r="291" spans="1:59" s="510" customFormat="1" ht="59.25" customHeight="1">
      <c r="A291" s="484">
        <v>1</v>
      </c>
      <c r="B291" s="518" t="s">
        <v>572</v>
      </c>
      <c r="C291" s="494" t="s">
        <v>487</v>
      </c>
      <c r="D291" s="494"/>
      <c r="E291" s="629" t="s">
        <v>998</v>
      </c>
      <c r="F291" s="494"/>
      <c r="G291" s="494"/>
      <c r="H291" s="503"/>
      <c r="I291" s="494" t="s">
        <v>811</v>
      </c>
      <c r="J291" s="563" t="s">
        <v>573</v>
      </c>
      <c r="K291" s="496">
        <v>40000</v>
      </c>
      <c r="L291" s="496">
        <v>40000</v>
      </c>
      <c r="M291" s="496"/>
      <c r="N291" s="496"/>
      <c r="O291" s="496"/>
      <c r="P291" s="496"/>
      <c r="Q291" s="496">
        <f t="shared" si="272"/>
        <v>520</v>
      </c>
      <c r="R291" s="496">
        <f t="shared" si="273"/>
        <v>520</v>
      </c>
      <c r="S291" s="496">
        <v>36000</v>
      </c>
      <c r="T291" s="496">
        <v>36000</v>
      </c>
      <c r="U291" s="496"/>
      <c r="V291" s="496"/>
      <c r="W291" s="496">
        <v>1145</v>
      </c>
      <c r="X291" s="496">
        <v>520</v>
      </c>
      <c r="Y291" s="496">
        <v>520</v>
      </c>
      <c r="Z291" s="496"/>
      <c r="AA291" s="496"/>
      <c r="AB291" s="496">
        <v>1145</v>
      </c>
      <c r="AC291" s="496">
        <v>1145</v>
      </c>
      <c r="AD291" s="496"/>
      <c r="AE291" s="496"/>
      <c r="AF291" s="496"/>
      <c r="AG291" s="496"/>
      <c r="AH291" s="496">
        <f t="shared" si="278"/>
        <v>1665</v>
      </c>
      <c r="AI291" s="496">
        <f t="shared" si="279"/>
        <v>1665</v>
      </c>
      <c r="AJ291" s="496"/>
      <c r="AK291" s="496"/>
      <c r="AL291" s="496">
        <f>AM291</f>
        <v>11445</v>
      </c>
      <c r="AM291" s="496">
        <f>(T291-AI291)/3</f>
        <v>11445</v>
      </c>
      <c r="AN291" s="496">
        <f t="shared" si="309"/>
        <v>0</v>
      </c>
      <c r="AO291" s="496">
        <f t="shared" si="315"/>
        <v>0</v>
      </c>
      <c r="AP291" s="496">
        <f>AQ291</f>
        <v>7000</v>
      </c>
      <c r="AQ291" s="496">
        <v>7000</v>
      </c>
      <c r="AR291" s="496"/>
      <c r="AS291" s="655"/>
      <c r="AT291" s="484" t="s">
        <v>1068</v>
      </c>
      <c r="AU291" s="484">
        <f t="shared" si="299"/>
        <v>0</v>
      </c>
      <c r="AV291" s="484">
        <f t="shared" ref="AV291:AV340" si="319">V291-AA291</f>
        <v>0</v>
      </c>
      <c r="AW291" s="623"/>
      <c r="AX291" s="572"/>
      <c r="BG291" s="488">
        <f t="shared" si="303"/>
        <v>4445</v>
      </c>
    </row>
    <row r="292" spans="1:59" s="82" customFormat="1" ht="59.25" customHeight="1">
      <c r="A292" s="484">
        <v>2</v>
      </c>
      <c r="B292" s="552" t="s">
        <v>575</v>
      </c>
      <c r="C292" s="494" t="s">
        <v>487</v>
      </c>
      <c r="D292" s="494"/>
      <c r="E292" s="494" t="s">
        <v>999</v>
      </c>
      <c r="F292" s="494"/>
      <c r="G292" s="494"/>
      <c r="H292" s="494"/>
      <c r="I292" s="494"/>
      <c r="J292" s="495" t="s">
        <v>1047</v>
      </c>
      <c r="K292" s="496">
        <v>14592</v>
      </c>
      <c r="L292" s="496">
        <v>3000</v>
      </c>
      <c r="M292" s="496"/>
      <c r="N292" s="496"/>
      <c r="O292" s="496"/>
      <c r="P292" s="496"/>
      <c r="Q292" s="496">
        <f t="shared" si="272"/>
        <v>0</v>
      </c>
      <c r="R292" s="496">
        <f t="shared" si="273"/>
        <v>0</v>
      </c>
      <c r="S292" s="496">
        <v>14592</v>
      </c>
      <c r="T292" s="496">
        <v>3000</v>
      </c>
      <c r="U292" s="496"/>
      <c r="V292" s="496"/>
      <c r="W292" s="496">
        <v>1500</v>
      </c>
      <c r="X292" s="496"/>
      <c r="Y292" s="496"/>
      <c r="Z292" s="496"/>
      <c r="AA292" s="496"/>
      <c r="AB292" s="496">
        <v>1500</v>
      </c>
      <c r="AC292" s="496">
        <v>1500</v>
      </c>
      <c r="AD292" s="496"/>
      <c r="AE292" s="496"/>
      <c r="AF292" s="496"/>
      <c r="AG292" s="496"/>
      <c r="AH292" s="496">
        <f t="shared" si="278"/>
        <v>1500</v>
      </c>
      <c r="AI292" s="496">
        <f t="shared" si="279"/>
        <v>1500</v>
      </c>
      <c r="AJ292" s="496"/>
      <c r="AK292" s="496"/>
      <c r="AL292" s="496">
        <f t="shared" si="313"/>
        <v>1500</v>
      </c>
      <c r="AM292" s="496">
        <f>AR292</f>
        <v>0</v>
      </c>
      <c r="AN292" s="496" t="e">
        <f>#REF!</f>
        <v>#REF!</v>
      </c>
      <c r="AO292" s="496">
        <f t="shared" si="315"/>
        <v>0</v>
      </c>
      <c r="AP292" s="496">
        <f>AQ292</f>
        <v>1500</v>
      </c>
      <c r="AQ292" s="496">
        <v>1500</v>
      </c>
      <c r="AR292" s="496"/>
      <c r="AS292" s="496"/>
      <c r="AT292" s="582"/>
      <c r="AU292" s="484">
        <f>AP292-AR292</f>
        <v>1500</v>
      </c>
      <c r="AV292" s="484">
        <f t="shared" si="319"/>
        <v>0</v>
      </c>
      <c r="AW292" s="521">
        <f>AC292</f>
        <v>1500</v>
      </c>
      <c r="AX292" s="548">
        <f>T292</f>
        <v>3000</v>
      </c>
      <c r="AY292" s="82">
        <f>T292-AX292</f>
        <v>0</v>
      </c>
      <c r="BE292" s="82">
        <v>1</v>
      </c>
      <c r="BF292" s="82">
        <f>AQ292</f>
        <v>1500</v>
      </c>
      <c r="BG292" s="488">
        <f>AL292-AR292</f>
        <v>1500</v>
      </c>
    </row>
    <row r="293" spans="1:59" s="510" customFormat="1" ht="59.25" customHeight="1">
      <c r="A293" s="484">
        <v>3</v>
      </c>
      <c r="B293" s="552" t="s">
        <v>576</v>
      </c>
      <c r="C293" s="494" t="s">
        <v>487</v>
      </c>
      <c r="D293" s="494"/>
      <c r="E293" s="629" t="s">
        <v>998</v>
      </c>
      <c r="F293" s="494"/>
      <c r="G293" s="494"/>
      <c r="H293" s="503"/>
      <c r="I293" s="494" t="s">
        <v>811</v>
      </c>
      <c r="J293" s="495" t="s">
        <v>577</v>
      </c>
      <c r="K293" s="496">
        <v>17000</v>
      </c>
      <c r="L293" s="496">
        <v>17000</v>
      </c>
      <c r="M293" s="496"/>
      <c r="N293" s="496"/>
      <c r="O293" s="496"/>
      <c r="P293" s="496"/>
      <c r="Q293" s="496">
        <f t="shared" si="272"/>
        <v>164</v>
      </c>
      <c r="R293" s="496">
        <f t="shared" si="273"/>
        <v>164</v>
      </c>
      <c r="S293" s="496">
        <v>15300</v>
      </c>
      <c r="T293" s="496">
        <v>15300</v>
      </c>
      <c r="U293" s="496"/>
      <c r="V293" s="496"/>
      <c r="W293" s="496"/>
      <c r="X293" s="496">
        <v>164</v>
      </c>
      <c r="Y293" s="496">
        <v>164</v>
      </c>
      <c r="Z293" s="496"/>
      <c r="AA293" s="496"/>
      <c r="AB293" s="496"/>
      <c r="AC293" s="496"/>
      <c r="AD293" s="496"/>
      <c r="AE293" s="496"/>
      <c r="AF293" s="496"/>
      <c r="AG293" s="496"/>
      <c r="AH293" s="496">
        <f t="shared" si="278"/>
        <v>164</v>
      </c>
      <c r="AI293" s="496">
        <f t="shared" si="279"/>
        <v>164</v>
      </c>
      <c r="AJ293" s="496"/>
      <c r="AK293" s="496"/>
      <c r="AL293" s="496">
        <f t="shared" ref="AL293" si="320">AP293</f>
        <v>2500</v>
      </c>
      <c r="AM293" s="496">
        <f t="shared" ref="AM293" si="321">AQ293</f>
        <v>2500</v>
      </c>
      <c r="AN293" s="496">
        <f t="shared" si="309"/>
        <v>0</v>
      </c>
      <c r="AO293" s="496">
        <f t="shared" si="315"/>
        <v>0</v>
      </c>
      <c r="AP293" s="613">
        <f>AQ293</f>
        <v>2500</v>
      </c>
      <c r="AQ293" s="496">
        <v>2500</v>
      </c>
      <c r="AR293" s="496"/>
      <c r="AS293" s="496"/>
      <c r="AT293" s="484" t="s">
        <v>1068</v>
      </c>
      <c r="AU293" s="484">
        <f t="shared" si="299"/>
        <v>0</v>
      </c>
      <c r="AV293" s="484">
        <f t="shared" si="319"/>
        <v>0</v>
      </c>
      <c r="AW293" s="562"/>
      <c r="AX293" s="548">
        <f>T293</f>
        <v>15300</v>
      </c>
      <c r="AY293" s="82"/>
      <c r="BD293" s="510">
        <v>1</v>
      </c>
      <c r="BE293" s="510">
        <v>1</v>
      </c>
      <c r="BF293" s="82">
        <f>AQ293</f>
        <v>2500</v>
      </c>
      <c r="BG293" s="488">
        <f t="shared" si="303"/>
        <v>0</v>
      </c>
    </row>
    <row r="294" spans="1:59" s="82" customFormat="1" ht="59.25" customHeight="1">
      <c r="A294" s="484">
        <v>4</v>
      </c>
      <c r="B294" s="632" t="s">
        <v>582</v>
      </c>
      <c r="C294" s="494" t="s">
        <v>487</v>
      </c>
      <c r="D294" s="494"/>
      <c r="E294" s="629" t="s">
        <v>998</v>
      </c>
      <c r="F294" s="494"/>
      <c r="G294" s="494"/>
      <c r="H294" s="494"/>
      <c r="I294" s="494" t="s">
        <v>381</v>
      </c>
      <c r="J294" s="578" t="s">
        <v>810</v>
      </c>
      <c r="K294" s="656">
        <f>L294</f>
        <v>2500</v>
      </c>
      <c r="L294" s="621">
        <v>2500</v>
      </c>
      <c r="M294" s="496"/>
      <c r="N294" s="496"/>
      <c r="O294" s="496"/>
      <c r="P294" s="496"/>
      <c r="Q294" s="496">
        <f t="shared" ref="Q294:R295" si="322">M294+X294</f>
        <v>0</v>
      </c>
      <c r="R294" s="496">
        <f t="shared" si="322"/>
        <v>0</v>
      </c>
      <c r="S294" s="496">
        <v>2500</v>
      </c>
      <c r="T294" s="496">
        <v>2500</v>
      </c>
      <c r="U294" s="496"/>
      <c r="V294" s="496"/>
      <c r="W294" s="496"/>
      <c r="X294" s="496"/>
      <c r="Y294" s="496"/>
      <c r="Z294" s="496"/>
      <c r="AA294" s="496"/>
      <c r="AB294" s="496"/>
      <c r="AC294" s="496"/>
      <c r="AD294" s="496"/>
      <c r="AE294" s="496"/>
      <c r="AF294" s="496"/>
      <c r="AG294" s="496"/>
      <c r="AH294" s="496">
        <f>X294+AB294</f>
        <v>0</v>
      </c>
      <c r="AI294" s="496">
        <f>Y294+AC294</f>
        <v>0</v>
      </c>
      <c r="AJ294" s="496"/>
      <c r="AK294" s="496"/>
      <c r="AL294" s="496">
        <f t="shared" ref="AL294:AO295" si="323">AP294</f>
        <v>800</v>
      </c>
      <c r="AM294" s="496">
        <f t="shared" si="323"/>
        <v>800</v>
      </c>
      <c r="AN294" s="496">
        <f t="shared" si="323"/>
        <v>0</v>
      </c>
      <c r="AO294" s="496">
        <f t="shared" si="323"/>
        <v>0</v>
      </c>
      <c r="AP294" s="496">
        <v>800</v>
      </c>
      <c r="AQ294" s="496">
        <f t="shared" ref="AQ294:AQ295" si="324">AP294</f>
        <v>800</v>
      </c>
      <c r="AR294" s="496"/>
      <c r="AS294" s="496"/>
      <c r="AT294" s="484" t="s">
        <v>1068</v>
      </c>
      <c r="AU294" s="484">
        <f>AP294-AQ294</f>
        <v>0</v>
      </c>
      <c r="AV294" s="484">
        <f>V294-AA294</f>
        <v>0</v>
      </c>
      <c r="AW294" s="582"/>
      <c r="AX294" s="548"/>
      <c r="BG294" s="488">
        <f t="shared" si="303"/>
        <v>0</v>
      </c>
    </row>
    <row r="295" spans="1:59" s="82" customFormat="1" ht="59.25" customHeight="1">
      <c r="A295" s="484">
        <v>5</v>
      </c>
      <c r="B295" s="552" t="s">
        <v>579</v>
      </c>
      <c r="C295" s="494" t="s">
        <v>487</v>
      </c>
      <c r="D295" s="494"/>
      <c r="E295" s="629" t="s">
        <v>998</v>
      </c>
      <c r="F295" s="494"/>
      <c r="G295" s="494"/>
      <c r="H295" s="494"/>
      <c r="I295" s="494" t="s">
        <v>811</v>
      </c>
      <c r="J295" s="578" t="s">
        <v>1056</v>
      </c>
      <c r="K295" s="496">
        <f>L295</f>
        <v>3000</v>
      </c>
      <c r="L295" s="496">
        <v>3000</v>
      </c>
      <c r="M295" s="496"/>
      <c r="N295" s="496"/>
      <c r="O295" s="496"/>
      <c r="P295" s="496"/>
      <c r="Q295" s="496">
        <f t="shared" si="322"/>
        <v>0</v>
      </c>
      <c r="R295" s="496">
        <f t="shared" si="322"/>
        <v>0</v>
      </c>
      <c r="S295" s="496">
        <v>3000</v>
      </c>
      <c r="T295" s="496">
        <v>3000</v>
      </c>
      <c r="U295" s="496"/>
      <c r="V295" s="496"/>
      <c r="W295" s="496"/>
      <c r="X295" s="496"/>
      <c r="Y295" s="496"/>
      <c r="Z295" s="496"/>
      <c r="AA295" s="496"/>
      <c r="AB295" s="496">
        <v>50</v>
      </c>
      <c r="AC295" s="496">
        <v>50</v>
      </c>
      <c r="AD295" s="496"/>
      <c r="AE295" s="496"/>
      <c r="AF295" s="496"/>
      <c r="AG295" s="496"/>
      <c r="AH295" s="496">
        <f>X295+AB295</f>
        <v>50</v>
      </c>
      <c r="AI295" s="496">
        <f>Y295+AC295</f>
        <v>50</v>
      </c>
      <c r="AJ295" s="496"/>
      <c r="AK295" s="496"/>
      <c r="AL295" s="496">
        <f t="shared" si="323"/>
        <v>1500</v>
      </c>
      <c r="AM295" s="496">
        <f t="shared" si="323"/>
        <v>1500</v>
      </c>
      <c r="AN295" s="496">
        <f t="shared" si="323"/>
        <v>0</v>
      </c>
      <c r="AO295" s="496">
        <f t="shared" si="323"/>
        <v>0</v>
      </c>
      <c r="AP295" s="496">
        <v>1500</v>
      </c>
      <c r="AQ295" s="496">
        <f t="shared" si="324"/>
        <v>1500</v>
      </c>
      <c r="AR295" s="496"/>
      <c r="AS295" s="496"/>
      <c r="AT295" s="484" t="s">
        <v>1068</v>
      </c>
      <c r="AU295" s="484">
        <f>AP295-AQ295</f>
        <v>0</v>
      </c>
      <c r="AV295" s="484">
        <f>V295-AA295</f>
        <v>0</v>
      </c>
      <c r="AW295" s="623"/>
      <c r="AX295" s="548"/>
      <c r="BG295" s="488">
        <f>AL295-AQ295</f>
        <v>0</v>
      </c>
    </row>
    <row r="296" spans="1:59" s="80" customFormat="1" ht="59.25" customHeight="1">
      <c r="A296" s="489" t="s">
        <v>757</v>
      </c>
      <c r="B296" s="573" t="s">
        <v>169</v>
      </c>
      <c r="C296" s="480"/>
      <c r="D296" s="480"/>
      <c r="E296" s="480"/>
      <c r="F296" s="480"/>
      <c r="G296" s="480"/>
      <c r="H296" s="526"/>
      <c r="I296" s="526"/>
      <c r="J296" s="481"/>
      <c r="K296" s="482">
        <f>K297</f>
        <v>0</v>
      </c>
      <c r="L296" s="482">
        <f t="shared" ref="L296:T296" si="325">L297</f>
        <v>0</v>
      </c>
      <c r="M296" s="482">
        <f t="shared" si="325"/>
        <v>0</v>
      </c>
      <c r="N296" s="482">
        <f t="shared" si="325"/>
        <v>0</v>
      </c>
      <c r="O296" s="482">
        <f t="shared" si="325"/>
        <v>0</v>
      </c>
      <c r="P296" s="482">
        <f t="shared" si="325"/>
        <v>0</v>
      </c>
      <c r="Q296" s="482">
        <f t="shared" si="325"/>
        <v>0</v>
      </c>
      <c r="R296" s="482">
        <f t="shared" si="325"/>
        <v>0</v>
      </c>
      <c r="S296" s="482">
        <f t="shared" si="325"/>
        <v>25000</v>
      </c>
      <c r="T296" s="482">
        <f t="shared" si="325"/>
        <v>25000</v>
      </c>
      <c r="U296" s="482">
        <f t="shared" ref="U296" si="326">U297</f>
        <v>0</v>
      </c>
      <c r="V296" s="482">
        <f t="shared" ref="V296" si="327">V297</f>
        <v>0</v>
      </c>
      <c r="W296" s="482"/>
      <c r="X296" s="482">
        <f t="shared" ref="X296" si="328">X297</f>
        <v>0</v>
      </c>
      <c r="Y296" s="482">
        <f t="shared" ref="Y296" si="329">Y297</f>
        <v>0</v>
      </c>
      <c r="Z296" s="482">
        <f t="shared" ref="Z296" si="330">Z297</f>
        <v>0</v>
      </c>
      <c r="AA296" s="482">
        <f t="shared" ref="AA296" si="331">AA297</f>
        <v>0</v>
      </c>
      <c r="AB296" s="482">
        <f t="shared" ref="AB296" si="332">AB297</f>
        <v>0</v>
      </c>
      <c r="AC296" s="482">
        <f t="shared" ref="AC296" si="333">AC297</f>
        <v>0</v>
      </c>
      <c r="AD296" s="482">
        <f t="shared" ref="AD296" si="334">AD297</f>
        <v>0</v>
      </c>
      <c r="AE296" s="482">
        <f t="shared" ref="AE296" si="335">AE297</f>
        <v>0</v>
      </c>
      <c r="AF296" s="482">
        <f t="shared" ref="AF296" si="336">AF297</f>
        <v>0</v>
      </c>
      <c r="AG296" s="482">
        <f t="shared" ref="AG296" si="337">AG297</f>
        <v>0</v>
      </c>
      <c r="AH296" s="482">
        <f t="shared" ref="AH296" si="338">AH297</f>
        <v>0</v>
      </c>
      <c r="AI296" s="482">
        <f t="shared" ref="AI296" si="339">AI297</f>
        <v>0</v>
      </c>
      <c r="AJ296" s="482"/>
      <c r="AK296" s="482"/>
      <c r="AL296" s="482">
        <f t="shared" ref="AL296" si="340">AL297</f>
        <v>100</v>
      </c>
      <c r="AM296" s="482">
        <f t="shared" ref="AM296" si="341">AM297</f>
        <v>100</v>
      </c>
      <c r="AN296" s="482">
        <f t="shared" ref="AN296" si="342">AN297</f>
        <v>0</v>
      </c>
      <c r="AO296" s="482">
        <f t="shared" ref="AO296" si="343">AO297</f>
        <v>0</v>
      </c>
      <c r="AP296" s="482">
        <f t="shared" ref="AP296" si="344">AP297</f>
        <v>100</v>
      </c>
      <c r="AQ296" s="482">
        <f t="shared" ref="AQ296" si="345">AQ297</f>
        <v>100</v>
      </c>
      <c r="AR296" s="482">
        <f t="shared" ref="AR296" si="346">AR297</f>
        <v>0</v>
      </c>
      <c r="AS296" s="482">
        <f t="shared" ref="AS296" si="347">AS297</f>
        <v>0</v>
      </c>
      <c r="AT296" s="480"/>
      <c r="AU296" s="489">
        <f t="shared" si="299"/>
        <v>0</v>
      </c>
      <c r="AV296" s="489"/>
      <c r="AW296" s="541"/>
      <c r="AX296" s="542"/>
      <c r="BG296" s="488">
        <f t="shared" si="303"/>
        <v>0</v>
      </c>
    </row>
    <row r="297" spans="1:59" s="80" customFormat="1" ht="59.25" customHeight="1">
      <c r="A297" s="489" t="s">
        <v>35</v>
      </c>
      <c r="B297" s="573" t="s">
        <v>45</v>
      </c>
      <c r="C297" s="480"/>
      <c r="D297" s="480"/>
      <c r="E297" s="480"/>
      <c r="F297" s="480"/>
      <c r="G297" s="480"/>
      <c r="H297" s="526"/>
      <c r="I297" s="526"/>
      <c r="J297" s="481"/>
      <c r="K297" s="482">
        <f t="shared" ref="K297:V297" si="348">SUM(K298:K299)</f>
        <v>0</v>
      </c>
      <c r="L297" s="482">
        <f t="shared" si="348"/>
        <v>0</v>
      </c>
      <c r="M297" s="482">
        <f t="shared" si="348"/>
        <v>0</v>
      </c>
      <c r="N297" s="482">
        <f t="shared" si="348"/>
        <v>0</v>
      </c>
      <c r="O297" s="482">
        <f t="shared" si="348"/>
        <v>0</v>
      </c>
      <c r="P297" s="482">
        <f t="shared" si="348"/>
        <v>0</v>
      </c>
      <c r="Q297" s="482">
        <f t="shared" si="348"/>
        <v>0</v>
      </c>
      <c r="R297" s="482">
        <f t="shared" si="348"/>
        <v>0</v>
      </c>
      <c r="S297" s="482">
        <f t="shared" si="348"/>
        <v>25000</v>
      </c>
      <c r="T297" s="482">
        <f t="shared" si="348"/>
        <v>25000</v>
      </c>
      <c r="U297" s="482">
        <f t="shared" si="348"/>
        <v>0</v>
      </c>
      <c r="V297" s="482">
        <f t="shared" si="348"/>
        <v>0</v>
      </c>
      <c r="W297" s="482"/>
      <c r="X297" s="482">
        <f t="shared" ref="X297:AI297" si="349">SUM(X298:X299)</f>
        <v>0</v>
      </c>
      <c r="Y297" s="482">
        <f t="shared" si="349"/>
        <v>0</v>
      </c>
      <c r="Z297" s="482">
        <f t="shared" si="349"/>
        <v>0</v>
      </c>
      <c r="AA297" s="482">
        <f t="shared" si="349"/>
        <v>0</v>
      </c>
      <c r="AB297" s="482">
        <f t="shared" si="349"/>
        <v>0</v>
      </c>
      <c r="AC297" s="482">
        <f t="shared" si="349"/>
        <v>0</v>
      </c>
      <c r="AD297" s="482">
        <f t="shared" si="349"/>
        <v>0</v>
      </c>
      <c r="AE297" s="482">
        <f t="shared" si="349"/>
        <v>0</v>
      </c>
      <c r="AF297" s="482">
        <f t="shared" si="349"/>
        <v>0</v>
      </c>
      <c r="AG297" s="482">
        <f t="shared" si="349"/>
        <v>0</v>
      </c>
      <c r="AH297" s="482">
        <f t="shared" si="349"/>
        <v>0</v>
      </c>
      <c r="AI297" s="482">
        <f t="shared" si="349"/>
        <v>0</v>
      </c>
      <c r="AJ297" s="482"/>
      <c r="AK297" s="482"/>
      <c r="AL297" s="482">
        <f t="shared" ref="AL297:AS297" si="350">SUM(AL298:AL299)</f>
        <v>100</v>
      </c>
      <c r="AM297" s="482">
        <f t="shared" si="350"/>
        <v>100</v>
      </c>
      <c r="AN297" s="482">
        <f t="shared" si="350"/>
        <v>0</v>
      </c>
      <c r="AO297" s="482">
        <f t="shared" si="350"/>
        <v>0</v>
      </c>
      <c r="AP297" s="482">
        <f t="shared" si="350"/>
        <v>100</v>
      </c>
      <c r="AQ297" s="482">
        <f t="shared" si="350"/>
        <v>100</v>
      </c>
      <c r="AR297" s="482">
        <f t="shared" si="350"/>
        <v>0</v>
      </c>
      <c r="AS297" s="482">
        <f t="shared" si="350"/>
        <v>0</v>
      </c>
      <c r="AT297" s="480"/>
      <c r="AU297" s="489"/>
      <c r="AV297" s="489"/>
      <c r="AW297" s="541"/>
      <c r="AX297" s="542"/>
      <c r="BG297" s="488">
        <f t="shared" si="303"/>
        <v>0</v>
      </c>
    </row>
    <row r="298" spans="1:59" s="82" customFormat="1" ht="59.25" customHeight="1">
      <c r="A298" s="484">
        <v>4</v>
      </c>
      <c r="B298" s="552" t="s">
        <v>580</v>
      </c>
      <c r="C298" s="494" t="s">
        <v>487</v>
      </c>
      <c r="D298" s="494"/>
      <c r="E298" s="629" t="s">
        <v>998</v>
      </c>
      <c r="F298" s="494"/>
      <c r="G298" s="494"/>
      <c r="H298" s="494"/>
      <c r="I298" s="494"/>
      <c r="J298" s="495"/>
      <c r="K298" s="496"/>
      <c r="L298" s="496"/>
      <c r="M298" s="496"/>
      <c r="N298" s="496"/>
      <c r="O298" s="496"/>
      <c r="P298" s="496"/>
      <c r="Q298" s="496">
        <f t="shared" ref="Q298:R299" si="351">M298+X298</f>
        <v>0</v>
      </c>
      <c r="R298" s="496">
        <f t="shared" si="351"/>
        <v>0</v>
      </c>
      <c r="S298" s="496">
        <v>15000</v>
      </c>
      <c r="T298" s="496">
        <v>15000</v>
      </c>
      <c r="U298" s="496"/>
      <c r="V298" s="496"/>
      <c r="W298" s="496"/>
      <c r="X298" s="496"/>
      <c r="Y298" s="496"/>
      <c r="Z298" s="496"/>
      <c r="AA298" s="496"/>
      <c r="AB298" s="496"/>
      <c r="AC298" s="496"/>
      <c r="AD298" s="496"/>
      <c r="AE298" s="496"/>
      <c r="AF298" s="496"/>
      <c r="AG298" s="496"/>
      <c r="AH298" s="496">
        <f>X298+AB298</f>
        <v>0</v>
      </c>
      <c r="AI298" s="496">
        <f>Y298+AC298</f>
        <v>0</v>
      </c>
      <c r="AJ298" s="496"/>
      <c r="AK298" s="496"/>
      <c r="AL298" s="496">
        <f t="shared" ref="AL298:AO299" si="352">AP298</f>
        <v>50</v>
      </c>
      <c r="AM298" s="496">
        <f t="shared" si="352"/>
        <v>50</v>
      </c>
      <c r="AN298" s="496">
        <f t="shared" si="352"/>
        <v>0</v>
      </c>
      <c r="AO298" s="496">
        <f t="shared" si="352"/>
        <v>0</v>
      </c>
      <c r="AP298" s="496">
        <f>AQ298</f>
        <v>50</v>
      </c>
      <c r="AQ298" s="496">
        <v>50</v>
      </c>
      <c r="AR298" s="496"/>
      <c r="AS298" s="496"/>
      <c r="AT298" s="536"/>
      <c r="AU298" s="484">
        <f>AP298-AQ298</f>
        <v>0</v>
      </c>
      <c r="AV298" s="484">
        <f>V298-AA298</f>
        <v>0</v>
      </c>
      <c r="AW298" s="521"/>
      <c r="AX298" s="548">
        <f>T298</f>
        <v>15000</v>
      </c>
      <c r="AY298" s="82">
        <f>T298-AX298</f>
        <v>0</v>
      </c>
      <c r="BE298" s="82">
        <v>1</v>
      </c>
      <c r="BF298" s="82">
        <f>AQ298</f>
        <v>50</v>
      </c>
      <c r="BG298" s="488">
        <f t="shared" si="303"/>
        <v>0</v>
      </c>
    </row>
    <row r="299" spans="1:59" s="82" customFormat="1" ht="59.25" customHeight="1">
      <c r="A299" s="484">
        <v>5</v>
      </c>
      <c r="B299" s="552" t="s">
        <v>581</v>
      </c>
      <c r="C299" s="494" t="s">
        <v>487</v>
      </c>
      <c r="D299" s="494"/>
      <c r="E299" s="629" t="s">
        <v>998</v>
      </c>
      <c r="F299" s="494"/>
      <c r="G299" s="494"/>
      <c r="H299" s="494"/>
      <c r="I299" s="494"/>
      <c r="J299" s="495"/>
      <c r="K299" s="496"/>
      <c r="L299" s="496"/>
      <c r="M299" s="496"/>
      <c r="N299" s="496"/>
      <c r="O299" s="496"/>
      <c r="P299" s="496"/>
      <c r="Q299" s="496">
        <f t="shared" si="351"/>
        <v>0</v>
      </c>
      <c r="R299" s="496">
        <f t="shared" si="351"/>
        <v>0</v>
      </c>
      <c r="S299" s="496">
        <v>10000</v>
      </c>
      <c r="T299" s="496">
        <v>10000</v>
      </c>
      <c r="U299" s="496"/>
      <c r="V299" s="496"/>
      <c r="W299" s="496"/>
      <c r="X299" s="496"/>
      <c r="Y299" s="496"/>
      <c r="Z299" s="496"/>
      <c r="AA299" s="496"/>
      <c r="AB299" s="496"/>
      <c r="AC299" s="496"/>
      <c r="AD299" s="496"/>
      <c r="AE299" s="496"/>
      <c r="AF299" s="496"/>
      <c r="AG299" s="496"/>
      <c r="AH299" s="496">
        <f>X299+AB299</f>
        <v>0</v>
      </c>
      <c r="AI299" s="496">
        <f>Y299+AC299</f>
        <v>0</v>
      </c>
      <c r="AJ299" s="496"/>
      <c r="AK299" s="496"/>
      <c r="AL299" s="496">
        <f t="shared" si="352"/>
        <v>50</v>
      </c>
      <c r="AM299" s="496">
        <f t="shared" si="352"/>
        <v>50</v>
      </c>
      <c r="AN299" s="496">
        <f t="shared" si="352"/>
        <v>0</v>
      </c>
      <c r="AO299" s="496">
        <f t="shared" si="352"/>
        <v>0</v>
      </c>
      <c r="AP299" s="496">
        <f>AQ299</f>
        <v>50</v>
      </c>
      <c r="AQ299" s="496">
        <v>50</v>
      </c>
      <c r="AR299" s="496"/>
      <c r="AS299" s="496"/>
      <c r="AT299" s="536"/>
      <c r="AU299" s="484">
        <f>AP299-AQ299</f>
        <v>0</v>
      </c>
      <c r="AV299" s="484">
        <f>V299-AA299</f>
        <v>0</v>
      </c>
      <c r="AW299" s="521"/>
      <c r="AX299" s="548">
        <f>T299</f>
        <v>10000</v>
      </c>
      <c r="AY299" s="82">
        <f>T299-AX299</f>
        <v>0</v>
      </c>
      <c r="BE299" s="82">
        <v>1</v>
      </c>
      <c r="BF299" s="82">
        <f>AQ299</f>
        <v>50</v>
      </c>
      <c r="BG299" s="488">
        <f t="shared" si="303"/>
        <v>0</v>
      </c>
    </row>
    <row r="300" spans="1:59" s="82" customFormat="1" ht="59.25" customHeight="1">
      <c r="A300" s="484"/>
      <c r="B300" s="552"/>
      <c r="C300" s="494"/>
      <c r="D300" s="494"/>
      <c r="E300" s="494"/>
      <c r="F300" s="494"/>
      <c r="G300" s="494"/>
      <c r="H300" s="494"/>
      <c r="I300" s="494"/>
      <c r="J300" s="495"/>
      <c r="K300" s="496"/>
      <c r="L300" s="496"/>
      <c r="M300" s="496"/>
      <c r="N300" s="496"/>
      <c r="O300" s="496"/>
      <c r="P300" s="496"/>
      <c r="Q300" s="496"/>
      <c r="R300" s="496"/>
      <c r="S300" s="496"/>
      <c r="T300" s="496"/>
      <c r="U300" s="496"/>
      <c r="V300" s="496"/>
      <c r="W300" s="496"/>
      <c r="X300" s="496"/>
      <c r="Y300" s="496"/>
      <c r="Z300" s="496"/>
      <c r="AA300" s="496"/>
      <c r="AB300" s="496"/>
      <c r="AC300" s="496"/>
      <c r="AD300" s="496"/>
      <c r="AE300" s="496"/>
      <c r="AF300" s="496"/>
      <c r="AG300" s="496"/>
      <c r="AH300" s="496"/>
      <c r="AI300" s="496"/>
      <c r="AJ300" s="496"/>
      <c r="AK300" s="496"/>
      <c r="AL300" s="496"/>
      <c r="AM300" s="496"/>
      <c r="AN300" s="496"/>
      <c r="AO300" s="496"/>
      <c r="AP300" s="496"/>
      <c r="AQ300" s="496"/>
      <c r="AR300" s="496"/>
      <c r="AS300" s="496"/>
      <c r="AT300" s="494"/>
      <c r="AU300" s="484"/>
      <c r="AV300" s="484"/>
      <c r="AW300" s="521"/>
      <c r="AX300" s="548"/>
      <c r="BG300" s="488">
        <f t="shared" si="303"/>
        <v>0</v>
      </c>
    </row>
    <row r="301" spans="1:59" s="82" customFormat="1" ht="59.25" customHeight="1">
      <c r="A301" s="484">
        <v>6</v>
      </c>
      <c r="B301" s="552" t="s">
        <v>583</v>
      </c>
      <c r="C301" s="494" t="s">
        <v>487</v>
      </c>
      <c r="D301" s="494"/>
      <c r="E301" s="494"/>
      <c r="F301" s="494"/>
      <c r="G301" s="494"/>
      <c r="H301" s="494"/>
      <c r="I301" s="494"/>
      <c r="J301" s="495"/>
      <c r="K301" s="496"/>
      <c r="L301" s="496"/>
      <c r="M301" s="496"/>
      <c r="N301" s="496"/>
      <c r="O301" s="496"/>
      <c r="P301" s="496"/>
      <c r="Q301" s="496">
        <f>M301+X301</f>
        <v>0</v>
      </c>
      <c r="R301" s="496">
        <f>N301+Y301</f>
        <v>0</v>
      </c>
      <c r="S301" s="496">
        <v>4298</v>
      </c>
      <c r="T301" s="496">
        <v>4298</v>
      </c>
      <c r="U301" s="496"/>
      <c r="V301" s="496"/>
      <c r="W301" s="496"/>
      <c r="X301" s="496"/>
      <c r="Y301" s="496"/>
      <c r="Z301" s="496"/>
      <c r="AA301" s="496"/>
      <c r="AB301" s="496"/>
      <c r="AC301" s="496"/>
      <c r="AD301" s="496"/>
      <c r="AE301" s="496"/>
      <c r="AF301" s="496"/>
      <c r="AG301" s="496"/>
      <c r="AH301" s="496">
        <f t="shared" si="278"/>
        <v>0</v>
      </c>
      <c r="AI301" s="496">
        <f t="shared" si="279"/>
        <v>0</v>
      </c>
      <c r="AJ301" s="496"/>
      <c r="AK301" s="496"/>
      <c r="AL301" s="496">
        <f t="shared" si="313"/>
        <v>0</v>
      </c>
      <c r="AM301" s="496">
        <f t="shared" si="314"/>
        <v>0</v>
      </c>
      <c r="AN301" s="496">
        <f t="shared" si="309"/>
        <v>0</v>
      </c>
      <c r="AO301" s="496">
        <f t="shared" si="315"/>
        <v>0</v>
      </c>
      <c r="AP301" s="496"/>
      <c r="AQ301" s="496"/>
      <c r="AR301" s="496"/>
      <c r="AS301" s="496"/>
      <c r="AT301" s="827" t="s">
        <v>584</v>
      </c>
      <c r="AU301" s="484">
        <f t="shared" si="299"/>
        <v>0</v>
      </c>
      <c r="AV301" s="484">
        <f t="shared" si="319"/>
        <v>0</v>
      </c>
      <c r="AW301" s="582"/>
      <c r="AX301" s="548">
        <f>T301</f>
        <v>4298</v>
      </c>
      <c r="AY301" s="82">
        <f>T301-AX301</f>
        <v>0</v>
      </c>
      <c r="BG301" s="488">
        <f t="shared" si="303"/>
        <v>0</v>
      </c>
    </row>
    <row r="302" spans="1:59" s="82" customFormat="1" ht="59.25" customHeight="1">
      <c r="A302" s="484">
        <v>7</v>
      </c>
      <c r="B302" s="552" t="s">
        <v>585</v>
      </c>
      <c r="C302" s="494" t="s">
        <v>487</v>
      </c>
      <c r="D302" s="494"/>
      <c r="E302" s="494"/>
      <c r="F302" s="494"/>
      <c r="G302" s="494"/>
      <c r="H302" s="494"/>
      <c r="I302" s="494"/>
      <c r="J302" s="495"/>
      <c r="K302" s="496"/>
      <c r="L302" s="496"/>
      <c r="M302" s="496"/>
      <c r="N302" s="496"/>
      <c r="O302" s="496"/>
      <c r="P302" s="496"/>
      <c r="Q302" s="496">
        <f>M302+X302</f>
        <v>0</v>
      </c>
      <c r="R302" s="496">
        <f>N302+Y302</f>
        <v>0</v>
      </c>
      <c r="S302" s="496">
        <v>5000</v>
      </c>
      <c r="T302" s="496">
        <v>5000</v>
      </c>
      <c r="U302" s="496"/>
      <c r="V302" s="496"/>
      <c r="W302" s="496"/>
      <c r="X302" s="496"/>
      <c r="Y302" s="496"/>
      <c r="Z302" s="496"/>
      <c r="AA302" s="496"/>
      <c r="AB302" s="496"/>
      <c r="AC302" s="496"/>
      <c r="AD302" s="496"/>
      <c r="AE302" s="496"/>
      <c r="AF302" s="496"/>
      <c r="AG302" s="496"/>
      <c r="AH302" s="496">
        <f t="shared" si="278"/>
        <v>0</v>
      </c>
      <c r="AI302" s="496">
        <f t="shared" si="279"/>
        <v>0</v>
      </c>
      <c r="AJ302" s="496"/>
      <c r="AK302" s="496"/>
      <c r="AL302" s="496">
        <f t="shared" si="313"/>
        <v>0</v>
      </c>
      <c r="AM302" s="496">
        <f t="shared" si="314"/>
        <v>0</v>
      </c>
      <c r="AN302" s="496">
        <f t="shared" si="309"/>
        <v>0</v>
      </c>
      <c r="AO302" s="496">
        <f t="shared" si="315"/>
        <v>0</v>
      </c>
      <c r="AP302" s="496"/>
      <c r="AQ302" s="496"/>
      <c r="AR302" s="496"/>
      <c r="AS302" s="496"/>
      <c r="AT302" s="827"/>
      <c r="AU302" s="484">
        <f t="shared" si="299"/>
        <v>0</v>
      </c>
      <c r="AV302" s="484">
        <f t="shared" si="319"/>
        <v>0</v>
      </c>
      <c r="AW302" s="582"/>
      <c r="AX302" s="548">
        <f>T302</f>
        <v>5000</v>
      </c>
      <c r="AY302" s="82">
        <f>T302-AX302</f>
        <v>0</v>
      </c>
      <c r="BG302" s="488">
        <f t="shared" si="303"/>
        <v>0</v>
      </c>
    </row>
    <row r="303" spans="1:59" s="81" customFormat="1" ht="59.25" customHeight="1">
      <c r="A303" s="556"/>
      <c r="B303" s="479" t="s">
        <v>331</v>
      </c>
      <c r="C303" s="480"/>
      <c r="D303" s="480"/>
      <c r="E303" s="480"/>
      <c r="F303" s="480"/>
      <c r="G303" s="480"/>
      <c r="H303" s="480"/>
      <c r="I303" s="480"/>
      <c r="J303" s="481"/>
      <c r="K303" s="482"/>
      <c r="L303" s="482"/>
      <c r="M303" s="482"/>
      <c r="N303" s="482"/>
      <c r="O303" s="482"/>
      <c r="P303" s="482"/>
      <c r="Q303" s="496"/>
      <c r="R303" s="496"/>
      <c r="S303" s="482"/>
      <c r="T303" s="482"/>
      <c r="U303" s="482"/>
      <c r="V303" s="482"/>
      <c r="W303" s="482"/>
      <c r="X303" s="482"/>
      <c r="Y303" s="482"/>
      <c r="Z303" s="482"/>
      <c r="AA303" s="482"/>
      <c r="AB303" s="482"/>
      <c r="AC303" s="482"/>
      <c r="AD303" s="482"/>
      <c r="AE303" s="482"/>
      <c r="AF303" s="482"/>
      <c r="AG303" s="482"/>
      <c r="AH303" s="482"/>
      <c r="AI303" s="482"/>
      <c r="AJ303" s="482"/>
      <c r="AK303" s="482"/>
      <c r="AL303" s="482"/>
      <c r="AM303" s="482"/>
      <c r="AN303" s="482"/>
      <c r="AO303" s="482"/>
      <c r="AP303" s="482"/>
      <c r="AQ303" s="482">
        <v>5022</v>
      </c>
      <c r="AR303" s="482"/>
      <c r="AS303" s="482"/>
      <c r="AT303" s="489">
        <f>AQ303-AQ304</f>
        <v>0</v>
      </c>
      <c r="AU303" s="484">
        <f t="shared" si="299"/>
        <v>-5022</v>
      </c>
      <c r="AV303" s="484">
        <f>AC304-AQ304</f>
        <v>-4255</v>
      </c>
      <c r="AW303" s="576"/>
      <c r="AX303" s="537"/>
      <c r="BG303" s="488">
        <f t="shared" si="303"/>
        <v>-5022</v>
      </c>
    </row>
    <row r="304" spans="1:59" s="81" customFormat="1" ht="59.25" customHeight="1">
      <c r="A304" s="549" t="s">
        <v>586</v>
      </c>
      <c r="B304" s="534" t="s">
        <v>587</v>
      </c>
      <c r="C304" s="480"/>
      <c r="D304" s="480"/>
      <c r="E304" s="480"/>
      <c r="F304" s="480"/>
      <c r="G304" s="480"/>
      <c r="H304" s="540"/>
      <c r="I304" s="480"/>
      <c r="J304" s="482">
        <v>0</v>
      </c>
      <c r="K304" s="482">
        <v>0</v>
      </c>
      <c r="L304" s="482">
        <v>0</v>
      </c>
      <c r="M304" s="482">
        <f t="shared" ref="M304:AS304" si="353">M305</f>
        <v>0</v>
      </c>
      <c r="N304" s="482">
        <f t="shared" si="353"/>
        <v>0</v>
      </c>
      <c r="O304" s="482">
        <f t="shared" si="353"/>
        <v>0</v>
      </c>
      <c r="P304" s="482">
        <f t="shared" si="353"/>
        <v>0</v>
      </c>
      <c r="Q304" s="482">
        <f t="shared" si="353"/>
        <v>0</v>
      </c>
      <c r="R304" s="482">
        <f t="shared" si="353"/>
        <v>0</v>
      </c>
      <c r="S304" s="482">
        <f t="shared" si="353"/>
        <v>12300</v>
      </c>
      <c r="T304" s="482">
        <f t="shared" si="353"/>
        <v>12300</v>
      </c>
      <c r="U304" s="482">
        <f t="shared" si="353"/>
        <v>0</v>
      </c>
      <c r="V304" s="482">
        <f t="shared" si="353"/>
        <v>0</v>
      </c>
      <c r="W304" s="482">
        <f t="shared" ref="W304" si="354">W305</f>
        <v>0</v>
      </c>
      <c r="X304" s="482">
        <f t="shared" si="353"/>
        <v>0</v>
      </c>
      <c r="Y304" s="482">
        <f t="shared" si="353"/>
        <v>0</v>
      </c>
      <c r="Z304" s="482">
        <f t="shared" si="353"/>
        <v>0</v>
      </c>
      <c r="AA304" s="482">
        <f t="shared" si="353"/>
        <v>0</v>
      </c>
      <c r="AB304" s="482">
        <f t="shared" si="353"/>
        <v>767</v>
      </c>
      <c r="AC304" s="482">
        <f t="shared" si="353"/>
        <v>767</v>
      </c>
      <c r="AD304" s="482">
        <f t="shared" si="353"/>
        <v>0</v>
      </c>
      <c r="AE304" s="482">
        <f t="shared" si="353"/>
        <v>0</v>
      </c>
      <c r="AF304" s="482">
        <f t="shared" si="353"/>
        <v>0</v>
      </c>
      <c r="AG304" s="482">
        <f t="shared" si="353"/>
        <v>0</v>
      </c>
      <c r="AH304" s="482">
        <f t="shared" si="353"/>
        <v>767</v>
      </c>
      <c r="AI304" s="482">
        <f t="shared" si="353"/>
        <v>767</v>
      </c>
      <c r="AJ304" s="482"/>
      <c r="AK304" s="482"/>
      <c r="AL304" s="482">
        <f t="shared" si="353"/>
        <v>5022</v>
      </c>
      <c r="AM304" s="482">
        <f t="shared" si="353"/>
        <v>5022</v>
      </c>
      <c r="AN304" s="482">
        <f t="shared" si="353"/>
        <v>0</v>
      </c>
      <c r="AO304" s="482">
        <f t="shared" si="353"/>
        <v>0</v>
      </c>
      <c r="AP304" s="482">
        <f t="shared" si="353"/>
        <v>5022</v>
      </c>
      <c r="AQ304" s="482">
        <f>AQ305</f>
        <v>5022</v>
      </c>
      <c r="AR304" s="482">
        <f t="shared" si="353"/>
        <v>0</v>
      </c>
      <c r="AS304" s="482">
        <f t="shared" si="353"/>
        <v>0</v>
      </c>
      <c r="AT304" s="551"/>
      <c r="AU304" s="484">
        <f t="shared" si="299"/>
        <v>0</v>
      </c>
      <c r="AV304" s="484">
        <f t="shared" si="319"/>
        <v>0</v>
      </c>
      <c r="AW304" s="551"/>
      <c r="AX304" s="537"/>
      <c r="BG304" s="488">
        <f t="shared" si="303"/>
        <v>0</v>
      </c>
    </row>
    <row r="305" spans="1:59" s="81" customFormat="1" ht="59.25" customHeight="1">
      <c r="A305" s="478" t="s">
        <v>33</v>
      </c>
      <c r="B305" s="539" t="s">
        <v>1084</v>
      </c>
      <c r="C305" s="480"/>
      <c r="D305" s="480"/>
      <c r="E305" s="480"/>
      <c r="F305" s="480"/>
      <c r="G305" s="480"/>
      <c r="H305" s="480"/>
      <c r="I305" s="480"/>
      <c r="J305" s="481"/>
      <c r="K305" s="482">
        <f>K306</f>
        <v>0</v>
      </c>
      <c r="L305" s="482">
        <f t="shared" ref="L305:AS305" si="355">L306</f>
        <v>0</v>
      </c>
      <c r="M305" s="482">
        <f t="shared" si="355"/>
        <v>0</v>
      </c>
      <c r="N305" s="482">
        <f t="shared" si="355"/>
        <v>0</v>
      </c>
      <c r="O305" s="482">
        <f t="shared" si="355"/>
        <v>0</v>
      </c>
      <c r="P305" s="482">
        <f t="shared" si="355"/>
        <v>0</v>
      </c>
      <c r="Q305" s="482">
        <f t="shared" si="355"/>
        <v>0</v>
      </c>
      <c r="R305" s="482">
        <f t="shared" si="355"/>
        <v>0</v>
      </c>
      <c r="S305" s="482">
        <f t="shared" si="355"/>
        <v>12300</v>
      </c>
      <c r="T305" s="482">
        <f t="shared" si="355"/>
        <v>12300</v>
      </c>
      <c r="U305" s="482">
        <f t="shared" si="355"/>
        <v>0</v>
      </c>
      <c r="V305" s="482">
        <f t="shared" si="355"/>
        <v>0</v>
      </c>
      <c r="W305" s="482">
        <f t="shared" si="355"/>
        <v>0</v>
      </c>
      <c r="X305" s="482">
        <f t="shared" si="355"/>
        <v>0</v>
      </c>
      <c r="Y305" s="482">
        <f t="shared" si="355"/>
        <v>0</v>
      </c>
      <c r="Z305" s="482">
        <f t="shared" si="355"/>
        <v>0</v>
      </c>
      <c r="AA305" s="482">
        <f t="shared" si="355"/>
        <v>0</v>
      </c>
      <c r="AB305" s="482">
        <f t="shared" si="355"/>
        <v>767</v>
      </c>
      <c r="AC305" s="482">
        <f t="shared" si="355"/>
        <v>767</v>
      </c>
      <c r="AD305" s="482">
        <f t="shared" si="355"/>
        <v>0</v>
      </c>
      <c r="AE305" s="482">
        <f t="shared" si="355"/>
        <v>0</v>
      </c>
      <c r="AF305" s="482">
        <f t="shared" si="355"/>
        <v>0</v>
      </c>
      <c r="AG305" s="482">
        <f t="shared" si="355"/>
        <v>0</v>
      </c>
      <c r="AH305" s="482">
        <f t="shared" si="355"/>
        <v>767</v>
      </c>
      <c r="AI305" s="482">
        <f t="shared" si="355"/>
        <v>767</v>
      </c>
      <c r="AJ305" s="482"/>
      <c r="AK305" s="482"/>
      <c r="AL305" s="482">
        <f t="shared" si="355"/>
        <v>5022</v>
      </c>
      <c r="AM305" s="482">
        <f t="shared" si="355"/>
        <v>5022</v>
      </c>
      <c r="AN305" s="482">
        <f t="shared" si="355"/>
        <v>0</v>
      </c>
      <c r="AO305" s="482">
        <f t="shared" si="355"/>
        <v>0</v>
      </c>
      <c r="AP305" s="482">
        <f t="shared" si="355"/>
        <v>5022</v>
      </c>
      <c r="AQ305" s="482">
        <f t="shared" si="355"/>
        <v>5022</v>
      </c>
      <c r="AR305" s="482">
        <f t="shared" si="355"/>
        <v>0</v>
      </c>
      <c r="AS305" s="482">
        <f t="shared" si="355"/>
        <v>0</v>
      </c>
      <c r="AT305" s="551"/>
      <c r="AU305" s="484">
        <f t="shared" si="299"/>
        <v>0</v>
      </c>
      <c r="AV305" s="489"/>
      <c r="AW305" s="551"/>
      <c r="AX305" s="537"/>
      <c r="BG305" s="488">
        <f t="shared" si="303"/>
        <v>0</v>
      </c>
    </row>
    <row r="306" spans="1:59" s="81" customFormat="1" ht="59.25" customHeight="1">
      <c r="A306" s="556" t="s">
        <v>35</v>
      </c>
      <c r="B306" s="557" t="s">
        <v>743</v>
      </c>
      <c r="C306" s="480"/>
      <c r="D306" s="480"/>
      <c r="E306" s="480"/>
      <c r="F306" s="480"/>
      <c r="G306" s="480"/>
      <c r="H306" s="480"/>
      <c r="I306" s="480"/>
      <c r="J306" s="481"/>
      <c r="K306" s="482">
        <f>SUM(K307:K310)</f>
        <v>0</v>
      </c>
      <c r="L306" s="482">
        <f t="shared" ref="L306:R306" si="356">SUM(L307:L310)</f>
        <v>0</v>
      </c>
      <c r="M306" s="482">
        <f t="shared" si="356"/>
        <v>0</v>
      </c>
      <c r="N306" s="482">
        <f t="shared" si="356"/>
        <v>0</v>
      </c>
      <c r="O306" s="482">
        <f t="shared" si="356"/>
        <v>0</v>
      </c>
      <c r="P306" s="482">
        <f t="shared" si="356"/>
        <v>0</v>
      </c>
      <c r="Q306" s="482">
        <f t="shared" si="356"/>
        <v>0</v>
      </c>
      <c r="R306" s="482">
        <f t="shared" si="356"/>
        <v>0</v>
      </c>
      <c r="S306" s="482">
        <f t="shared" ref="S306:AS306" si="357">SUM(S307:S310)</f>
        <v>12300</v>
      </c>
      <c r="T306" s="482">
        <f t="shared" si="357"/>
        <v>12300</v>
      </c>
      <c r="U306" s="482">
        <f t="shared" si="357"/>
        <v>0</v>
      </c>
      <c r="V306" s="482">
        <f t="shared" si="357"/>
        <v>0</v>
      </c>
      <c r="W306" s="482">
        <f t="shared" si="357"/>
        <v>0</v>
      </c>
      <c r="X306" s="482">
        <f t="shared" si="357"/>
        <v>0</v>
      </c>
      <c r="Y306" s="482">
        <f t="shared" si="357"/>
        <v>0</v>
      </c>
      <c r="Z306" s="482">
        <f t="shared" si="357"/>
        <v>0</v>
      </c>
      <c r="AA306" s="482">
        <f t="shared" si="357"/>
        <v>0</v>
      </c>
      <c r="AB306" s="482">
        <f t="shared" si="357"/>
        <v>767</v>
      </c>
      <c r="AC306" s="482">
        <f t="shared" si="357"/>
        <v>767</v>
      </c>
      <c r="AD306" s="482">
        <f t="shared" si="357"/>
        <v>0</v>
      </c>
      <c r="AE306" s="482">
        <f t="shared" si="357"/>
        <v>0</v>
      </c>
      <c r="AF306" s="482">
        <f t="shared" si="357"/>
        <v>0</v>
      </c>
      <c r="AG306" s="482">
        <f t="shared" si="357"/>
        <v>0</v>
      </c>
      <c r="AH306" s="482">
        <f t="shared" si="357"/>
        <v>767</v>
      </c>
      <c r="AI306" s="482">
        <f t="shared" si="357"/>
        <v>767</v>
      </c>
      <c r="AJ306" s="482">
        <f t="shared" si="357"/>
        <v>0</v>
      </c>
      <c r="AK306" s="482">
        <f t="shared" si="357"/>
        <v>0</v>
      </c>
      <c r="AL306" s="482">
        <f t="shared" si="357"/>
        <v>5022</v>
      </c>
      <c r="AM306" s="482">
        <f t="shared" si="357"/>
        <v>5022</v>
      </c>
      <c r="AN306" s="482">
        <f t="shared" si="357"/>
        <v>0</v>
      </c>
      <c r="AO306" s="482">
        <f t="shared" si="357"/>
        <v>0</v>
      </c>
      <c r="AP306" s="482">
        <f t="shared" si="357"/>
        <v>5022</v>
      </c>
      <c r="AQ306" s="482">
        <f>SUM(AQ307:AQ310)</f>
        <v>5022</v>
      </c>
      <c r="AR306" s="482">
        <f t="shared" si="357"/>
        <v>0</v>
      </c>
      <c r="AS306" s="482">
        <f t="shared" si="357"/>
        <v>0</v>
      </c>
      <c r="AT306" s="551"/>
      <c r="AU306" s="484">
        <f t="shared" si="299"/>
        <v>0</v>
      </c>
      <c r="AV306" s="489"/>
      <c r="AW306" s="551"/>
      <c r="AX306" s="537"/>
      <c r="BG306" s="488">
        <f t="shared" si="303"/>
        <v>0</v>
      </c>
    </row>
    <row r="307" spans="1:59" s="82" customFormat="1" ht="59.25" customHeight="1">
      <c r="A307" s="543">
        <v>1</v>
      </c>
      <c r="B307" s="518" t="s">
        <v>589</v>
      </c>
      <c r="C307" s="494" t="s">
        <v>588</v>
      </c>
      <c r="D307" s="494"/>
      <c r="E307" s="494" t="s">
        <v>1000</v>
      </c>
      <c r="F307" s="494"/>
      <c r="G307" s="494"/>
      <c r="H307" s="494"/>
      <c r="I307" s="494"/>
      <c r="J307" s="495"/>
      <c r="K307" s="496"/>
      <c r="L307" s="496"/>
      <c r="M307" s="496"/>
      <c r="N307" s="496"/>
      <c r="O307" s="496"/>
      <c r="P307" s="496"/>
      <c r="Q307" s="496">
        <f t="shared" ref="Q307:R310" si="358">M307+X307</f>
        <v>0</v>
      </c>
      <c r="R307" s="496">
        <f t="shared" si="358"/>
        <v>0</v>
      </c>
      <c r="S307" s="496">
        <v>5000</v>
      </c>
      <c r="T307" s="496">
        <v>5000</v>
      </c>
      <c r="U307" s="496"/>
      <c r="V307" s="496"/>
      <c r="W307" s="496"/>
      <c r="X307" s="496"/>
      <c r="Y307" s="496"/>
      <c r="Z307" s="496"/>
      <c r="AA307" s="496"/>
      <c r="AB307" s="496">
        <v>300</v>
      </c>
      <c r="AC307" s="496">
        <v>300</v>
      </c>
      <c r="AD307" s="496"/>
      <c r="AE307" s="496"/>
      <c r="AF307" s="496"/>
      <c r="AG307" s="496"/>
      <c r="AH307" s="496">
        <f t="shared" si="278"/>
        <v>300</v>
      </c>
      <c r="AI307" s="496">
        <f t="shared" si="279"/>
        <v>300</v>
      </c>
      <c r="AJ307" s="496"/>
      <c r="AK307" s="496"/>
      <c r="AL307" s="496">
        <f t="shared" si="313"/>
        <v>1500</v>
      </c>
      <c r="AM307" s="496">
        <f t="shared" si="314"/>
        <v>1500</v>
      </c>
      <c r="AN307" s="496">
        <f t="shared" si="309"/>
        <v>0</v>
      </c>
      <c r="AO307" s="496">
        <f t="shared" si="315"/>
        <v>0</v>
      </c>
      <c r="AP307" s="496">
        <f>AQ307</f>
        <v>1500</v>
      </c>
      <c r="AQ307" s="496">
        <v>1500</v>
      </c>
      <c r="AR307" s="496"/>
      <c r="AS307" s="496"/>
      <c r="AT307" s="536"/>
      <c r="AU307" s="484">
        <f t="shared" si="299"/>
        <v>0</v>
      </c>
      <c r="AV307" s="484">
        <f t="shared" si="319"/>
        <v>0</v>
      </c>
      <c r="AW307" s="536"/>
      <c r="AX307" s="548"/>
      <c r="BG307" s="488">
        <f t="shared" si="303"/>
        <v>0</v>
      </c>
    </row>
    <row r="308" spans="1:59" s="82" customFormat="1" ht="59.25" customHeight="1">
      <c r="A308" s="543">
        <v>2</v>
      </c>
      <c r="B308" s="518" t="s">
        <v>590</v>
      </c>
      <c r="C308" s="494" t="s">
        <v>588</v>
      </c>
      <c r="D308" s="494"/>
      <c r="E308" s="494" t="s">
        <v>1000</v>
      </c>
      <c r="F308" s="494"/>
      <c r="G308" s="494"/>
      <c r="H308" s="494"/>
      <c r="I308" s="494"/>
      <c r="J308" s="495"/>
      <c r="K308" s="496"/>
      <c r="L308" s="496"/>
      <c r="M308" s="496"/>
      <c r="N308" s="496"/>
      <c r="O308" s="496"/>
      <c r="P308" s="496"/>
      <c r="Q308" s="496">
        <f t="shared" si="358"/>
        <v>0</v>
      </c>
      <c r="R308" s="496">
        <f t="shared" si="358"/>
        <v>0</v>
      </c>
      <c r="S308" s="496">
        <v>4500</v>
      </c>
      <c r="T308" s="496">
        <v>4500</v>
      </c>
      <c r="U308" s="496" t="s">
        <v>315</v>
      </c>
      <c r="V308" s="496"/>
      <c r="W308" s="496"/>
      <c r="X308" s="496"/>
      <c r="Y308" s="496"/>
      <c r="Z308" s="496"/>
      <c r="AA308" s="496"/>
      <c r="AB308" s="496">
        <v>250</v>
      </c>
      <c r="AC308" s="496">
        <v>250</v>
      </c>
      <c r="AD308" s="496"/>
      <c r="AE308" s="496"/>
      <c r="AF308" s="496"/>
      <c r="AG308" s="496"/>
      <c r="AH308" s="496">
        <f t="shared" si="278"/>
        <v>250</v>
      </c>
      <c r="AI308" s="496">
        <f t="shared" si="279"/>
        <v>250</v>
      </c>
      <c r="AJ308" s="496"/>
      <c r="AK308" s="496"/>
      <c r="AL308" s="496">
        <f t="shared" si="313"/>
        <v>1222</v>
      </c>
      <c r="AM308" s="496">
        <f t="shared" si="314"/>
        <v>1222</v>
      </c>
      <c r="AN308" s="496">
        <f t="shared" si="309"/>
        <v>0</v>
      </c>
      <c r="AO308" s="496">
        <f t="shared" si="315"/>
        <v>0</v>
      </c>
      <c r="AP308" s="496">
        <f>AQ308</f>
        <v>1222</v>
      </c>
      <c r="AQ308" s="496">
        <v>1222</v>
      </c>
      <c r="AR308" s="496"/>
      <c r="AS308" s="496"/>
      <c r="AT308" s="536"/>
      <c r="AU308" s="484">
        <f t="shared" si="299"/>
        <v>0</v>
      </c>
      <c r="AV308" s="484">
        <f t="shared" si="319"/>
        <v>0</v>
      </c>
      <c r="AW308" s="536"/>
      <c r="AX308" s="548"/>
      <c r="BG308" s="488">
        <f t="shared" si="303"/>
        <v>0</v>
      </c>
    </row>
    <row r="309" spans="1:59" s="82" customFormat="1" ht="59.25" customHeight="1">
      <c r="A309" s="543">
        <v>3</v>
      </c>
      <c r="B309" s="518" t="s">
        <v>591</v>
      </c>
      <c r="C309" s="494" t="s">
        <v>588</v>
      </c>
      <c r="D309" s="494"/>
      <c r="E309" s="494" t="s">
        <v>1000</v>
      </c>
      <c r="F309" s="494"/>
      <c r="G309" s="494"/>
      <c r="H309" s="494"/>
      <c r="I309" s="494"/>
      <c r="J309" s="495"/>
      <c r="K309" s="496"/>
      <c r="L309" s="496"/>
      <c r="M309" s="496"/>
      <c r="N309" s="496"/>
      <c r="O309" s="496"/>
      <c r="P309" s="496"/>
      <c r="Q309" s="496">
        <f t="shared" si="358"/>
        <v>0</v>
      </c>
      <c r="R309" s="496">
        <f t="shared" si="358"/>
        <v>0</v>
      </c>
      <c r="S309" s="496">
        <v>1500</v>
      </c>
      <c r="T309" s="496">
        <v>1500</v>
      </c>
      <c r="U309" s="496"/>
      <c r="V309" s="496"/>
      <c r="W309" s="496"/>
      <c r="X309" s="496"/>
      <c r="Y309" s="496"/>
      <c r="Z309" s="496"/>
      <c r="AA309" s="496"/>
      <c r="AB309" s="496">
        <v>117</v>
      </c>
      <c r="AC309" s="496">
        <v>117</v>
      </c>
      <c r="AD309" s="496"/>
      <c r="AE309" s="496"/>
      <c r="AF309" s="496"/>
      <c r="AG309" s="496"/>
      <c r="AH309" s="496">
        <f t="shared" si="278"/>
        <v>117</v>
      </c>
      <c r="AI309" s="496">
        <f t="shared" si="279"/>
        <v>117</v>
      </c>
      <c r="AJ309" s="496"/>
      <c r="AK309" s="496"/>
      <c r="AL309" s="496">
        <f t="shared" si="313"/>
        <v>1150</v>
      </c>
      <c r="AM309" s="496">
        <f t="shared" si="314"/>
        <v>1150</v>
      </c>
      <c r="AN309" s="496">
        <f t="shared" si="309"/>
        <v>0</v>
      </c>
      <c r="AO309" s="496">
        <f t="shared" si="315"/>
        <v>0</v>
      </c>
      <c r="AP309" s="496">
        <f>AQ309</f>
        <v>1150</v>
      </c>
      <c r="AQ309" s="496">
        <v>1150</v>
      </c>
      <c r="AR309" s="496"/>
      <c r="AS309" s="496"/>
      <c r="AT309" s="536"/>
      <c r="AU309" s="484">
        <f t="shared" si="299"/>
        <v>0</v>
      </c>
      <c r="AV309" s="484">
        <f t="shared" si="319"/>
        <v>0</v>
      </c>
      <c r="AW309" s="536"/>
      <c r="AX309" s="548"/>
      <c r="BG309" s="488">
        <f t="shared" si="303"/>
        <v>0</v>
      </c>
    </row>
    <row r="310" spans="1:59" s="82" customFormat="1" ht="59.25" customHeight="1">
      <c r="A310" s="543">
        <v>4</v>
      </c>
      <c r="B310" s="560" t="s">
        <v>592</v>
      </c>
      <c r="C310" s="494" t="s">
        <v>588</v>
      </c>
      <c r="D310" s="494"/>
      <c r="E310" s="494" t="s">
        <v>1000</v>
      </c>
      <c r="F310" s="494"/>
      <c r="G310" s="494"/>
      <c r="H310" s="494"/>
      <c r="I310" s="494">
        <v>2020</v>
      </c>
      <c r="J310" s="495"/>
      <c r="K310" s="496"/>
      <c r="L310" s="496"/>
      <c r="M310" s="496"/>
      <c r="N310" s="496"/>
      <c r="O310" s="496"/>
      <c r="P310" s="496"/>
      <c r="Q310" s="496">
        <f t="shared" si="358"/>
        <v>0</v>
      </c>
      <c r="R310" s="496">
        <f t="shared" si="358"/>
        <v>0</v>
      </c>
      <c r="S310" s="496">
        <v>1300</v>
      </c>
      <c r="T310" s="496">
        <v>1300</v>
      </c>
      <c r="U310" s="496"/>
      <c r="V310" s="496"/>
      <c r="W310" s="496"/>
      <c r="X310" s="496"/>
      <c r="Y310" s="496"/>
      <c r="Z310" s="496"/>
      <c r="AA310" s="496"/>
      <c r="AB310" s="496">
        <v>100</v>
      </c>
      <c r="AC310" s="496">
        <v>100</v>
      </c>
      <c r="AD310" s="496"/>
      <c r="AE310" s="496"/>
      <c r="AF310" s="496"/>
      <c r="AG310" s="496"/>
      <c r="AH310" s="496">
        <f t="shared" ref="AH310:AH347" si="359">X310+AB310</f>
        <v>100</v>
      </c>
      <c r="AI310" s="496">
        <f t="shared" ref="AI310:AI347" si="360">Y310+AC310</f>
        <v>100</v>
      </c>
      <c r="AJ310" s="496"/>
      <c r="AK310" s="496"/>
      <c r="AL310" s="496">
        <f t="shared" si="313"/>
        <v>1150</v>
      </c>
      <c r="AM310" s="496">
        <f t="shared" si="314"/>
        <v>1150</v>
      </c>
      <c r="AN310" s="496">
        <f t="shared" si="309"/>
        <v>0</v>
      </c>
      <c r="AO310" s="496">
        <f t="shared" si="315"/>
        <v>0</v>
      </c>
      <c r="AP310" s="496">
        <f>AQ310</f>
        <v>1150</v>
      </c>
      <c r="AQ310" s="496">
        <v>1150</v>
      </c>
      <c r="AR310" s="496"/>
      <c r="AS310" s="496"/>
      <c r="AT310" s="536"/>
      <c r="AU310" s="484">
        <f t="shared" si="299"/>
        <v>0</v>
      </c>
      <c r="AV310" s="484">
        <f t="shared" si="319"/>
        <v>0</v>
      </c>
      <c r="AW310" s="536"/>
      <c r="AX310" s="548"/>
      <c r="BG310" s="488">
        <f t="shared" si="303"/>
        <v>0</v>
      </c>
    </row>
    <row r="311" spans="1:59" s="81" customFormat="1" ht="59.25" customHeight="1">
      <c r="A311" s="549"/>
      <c r="B311" s="479" t="s">
        <v>331</v>
      </c>
      <c r="C311" s="480"/>
      <c r="D311" s="480"/>
      <c r="E311" s="480"/>
      <c r="F311" s="480"/>
      <c r="G311" s="480"/>
      <c r="H311" s="480"/>
      <c r="I311" s="480"/>
      <c r="J311" s="481"/>
      <c r="K311" s="482"/>
      <c r="L311" s="482"/>
      <c r="M311" s="482"/>
      <c r="N311" s="482"/>
      <c r="O311" s="482"/>
      <c r="P311" s="482"/>
      <c r="Q311" s="496"/>
      <c r="R311" s="496"/>
      <c r="S311" s="482"/>
      <c r="T311" s="482"/>
      <c r="U311" s="482"/>
      <c r="V311" s="482"/>
      <c r="W311" s="482"/>
      <c r="X311" s="482"/>
      <c r="Y311" s="482"/>
      <c r="Z311" s="482"/>
      <c r="AA311" s="482"/>
      <c r="AB311" s="482"/>
      <c r="AC311" s="482">
        <v>31018</v>
      </c>
      <c r="AD311" s="482"/>
      <c r="AE311" s="482"/>
      <c r="AF311" s="482"/>
      <c r="AG311" s="482"/>
      <c r="AH311" s="482"/>
      <c r="AI311" s="482"/>
      <c r="AJ311" s="482"/>
      <c r="AK311" s="482"/>
      <c r="AL311" s="482"/>
      <c r="AM311" s="482"/>
      <c r="AN311" s="482"/>
      <c r="AO311" s="482"/>
      <c r="AP311" s="482"/>
      <c r="AQ311" s="482">
        <v>23717</v>
      </c>
      <c r="AR311" s="482"/>
      <c r="AS311" s="482"/>
      <c r="AT311" s="649">
        <f>AQ311-AQ312</f>
        <v>0</v>
      </c>
      <c r="AU311" s="484">
        <f t="shared" si="299"/>
        <v>-23717</v>
      </c>
      <c r="AV311" s="484">
        <f t="shared" si="319"/>
        <v>0</v>
      </c>
      <c r="AW311" s="551"/>
      <c r="AX311" s="537"/>
      <c r="BG311" s="488">
        <f t="shared" si="303"/>
        <v>-23717</v>
      </c>
    </row>
    <row r="312" spans="1:59" s="81" customFormat="1" ht="59.25" customHeight="1">
      <c r="A312" s="549" t="s">
        <v>593</v>
      </c>
      <c r="B312" s="555" t="s">
        <v>594</v>
      </c>
      <c r="C312" s="480"/>
      <c r="D312" s="480"/>
      <c r="E312" s="480"/>
      <c r="F312" s="480"/>
      <c r="G312" s="480"/>
      <c r="H312" s="540"/>
      <c r="I312" s="480"/>
      <c r="J312" s="481"/>
      <c r="K312" s="482">
        <f t="shared" ref="K312:AP312" si="361">K313+K323+K326+K332</f>
        <v>122459</v>
      </c>
      <c r="L312" s="482">
        <f t="shared" si="361"/>
        <v>86659</v>
      </c>
      <c r="M312" s="482">
        <f t="shared" si="361"/>
        <v>60141</v>
      </c>
      <c r="N312" s="482">
        <f t="shared" si="361"/>
        <v>4000</v>
      </c>
      <c r="O312" s="482">
        <f t="shared" si="361"/>
        <v>60141</v>
      </c>
      <c r="P312" s="482">
        <f t="shared" si="361"/>
        <v>4000</v>
      </c>
      <c r="Q312" s="482">
        <f t="shared" si="361"/>
        <v>71996</v>
      </c>
      <c r="R312" s="482">
        <f t="shared" si="361"/>
        <v>15855</v>
      </c>
      <c r="S312" s="482">
        <f t="shared" si="361"/>
        <v>73829</v>
      </c>
      <c r="T312" s="482">
        <f t="shared" si="361"/>
        <v>73829</v>
      </c>
      <c r="U312" s="482">
        <f t="shared" si="361"/>
        <v>0</v>
      </c>
      <c r="V312" s="482">
        <f t="shared" si="361"/>
        <v>5000</v>
      </c>
      <c r="W312" s="482">
        <f t="shared" si="361"/>
        <v>91492</v>
      </c>
      <c r="X312" s="482">
        <f t="shared" si="361"/>
        <v>11855</v>
      </c>
      <c r="Y312" s="482">
        <f t="shared" si="361"/>
        <v>11855</v>
      </c>
      <c r="Z312" s="482">
        <f t="shared" si="361"/>
        <v>0</v>
      </c>
      <c r="AA312" s="482">
        <f t="shared" si="361"/>
        <v>5000</v>
      </c>
      <c r="AB312" s="482">
        <f t="shared" si="361"/>
        <v>23830</v>
      </c>
      <c r="AC312" s="482">
        <f t="shared" si="361"/>
        <v>23830</v>
      </c>
      <c r="AD312" s="482">
        <f t="shared" si="361"/>
        <v>0</v>
      </c>
      <c r="AE312" s="482">
        <f t="shared" si="361"/>
        <v>0</v>
      </c>
      <c r="AF312" s="482">
        <f t="shared" si="361"/>
        <v>8076</v>
      </c>
      <c r="AG312" s="482">
        <f t="shared" si="361"/>
        <v>8076</v>
      </c>
      <c r="AH312" s="482">
        <f t="shared" si="361"/>
        <v>35685</v>
      </c>
      <c r="AI312" s="482">
        <f t="shared" si="361"/>
        <v>35685</v>
      </c>
      <c r="AJ312" s="482">
        <f t="shared" si="361"/>
        <v>0</v>
      </c>
      <c r="AK312" s="482">
        <f t="shared" si="361"/>
        <v>0</v>
      </c>
      <c r="AL312" s="482">
        <f t="shared" si="361"/>
        <v>17717</v>
      </c>
      <c r="AM312" s="482">
        <f t="shared" si="361"/>
        <v>17717</v>
      </c>
      <c r="AN312" s="482">
        <f t="shared" si="361"/>
        <v>0</v>
      </c>
      <c r="AO312" s="482">
        <f t="shared" si="361"/>
        <v>0</v>
      </c>
      <c r="AP312" s="482">
        <f t="shared" si="361"/>
        <v>23717</v>
      </c>
      <c r="AQ312" s="482">
        <f>AQ313+AQ323+AQ326+AQ332</f>
        <v>23717</v>
      </c>
      <c r="AR312" s="482">
        <f t="shared" ref="AR312:AS312" si="362">AR313+AR323+AR326+AR333</f>
        <v>0</v>
      </c>
      <c r="AS312" s="482">
        <f t="shared" si="362"/>
        <v>0</v>
      </c>
      <c r="AT312" s="551"/>
      <c r="AU312" s="484">
        <f t="shared" ref="AU312:AU345" si="363">AP312-AQ312</f>
        <v>0</v>
      </c>
      <c r="AV312" s="484">
        <f t="shared" si="319"/>
        <v>0</v>
      </c>
      <c r="AW312" s="551"/>
      <c r="AX312" s="537"/>
      <c r="BG312" s="488">
        <f t="shared" si="303"/>
        <v>-6000</v>
      </c>
    </row>
    <row r="313" spans="1:59" s="510" customFormat="1" ht="59.25" customHeight="1">
      <c r="A313" s="478" t="s">
        <v>33</v>
      </c>
      <c r="B313" s="539" t="s">
        <v>787</v>
      </c>
      <c r="C313" s="503"/>
      <c r="D313" s="503"/>
      <c r="E313" s="503"/>
      <c r="F313" s="503"/>
      <c r="G313" s="503"/>
      <c r="H313" s="503"/>
      <c r="I313" s="503"/>
      <c r="J313" s="504"/>
      <c r="K313" s="525">
        <f>K314</f>
        <v>58640</v>
      </c>
      <c r="L313" s="525">
        <f t="shared" ref="L313:AS313" si="364">L314</f>
        <v>22840</v>
      </c>
      <c r="M313" s="525">
        <f t="shared" si="364"/>
        <v>35800</v>
      </c>
      <c r="N313" s="525">
        <f t="shared" si="364"/>
        <v>0</v>
      </c>
      <c r="O313" s="525">
        <f t="shared" si="364"/>
        <v>35800</v>
      </c>
      <c r="P313" s="525">
        <f t="shared" si="364"/>
        <v>0</v>
      </c>
      <c r="Q313" s="525">
        <f t="shared" si="364"/>
        <v>39300</v>
      </c>
      <c r="R313" s="525">
        <f t="shared" si="364"/>
        <v>3500</v>
      </c>
      <c r="S313" s="525">
        <f t="shared" si="364"/>
        <v>22340</v>
      </c>
      <c r="T313" s="525">
        <f t="shared" si="364"/>
        <v>22340</v>
      </c>
      <c r="U313" s="525">
        <f t="shared" si="364"/>
        <v>0</v>
      </c>
      <c r="V313" s="525">
        <f t="shared" si="364"/>
        <v>0</v>
      </c>
      <c r="W313" s="525">
        <f t="shared" si="364"/>
        <v>51151</v>
      </c>
      <c r="X313" s="525">
        <f t="shared" si="364"/>
        <v>3500</v>
      </c>
      <c r="Y313" s="525">
        <f t="shared" si="364"/>
        <v>3500</v>
      </c>
      <c r="Z313" s="525">
        <f t="shared" si="364"/>
        <v>0</v>
      </c>
      <c r="AA313" s="525">
        <f t="shared" si="364"/>
        <v>0</v>
      </c>
      <c r="AB313" s="525">
        <f t="shared" si="364"/>
        <v>12576</v>
      </c>
      <c r="AC313" s="525">
        <f t="shared" si="364"/>
        <v>12576</v>
      </c>
      <c r="AD313" s="525">
        <f t="shared" si="364"/>
        <v>0</v>
      </c>
      <c r="AE313" s="525">
        <f t="shared" si="364"/>
        <v>0</v>
      </c>
      <c r="AF313" s="525">
        <f t="shared" si="364"/>
        <v>8076</v>
      </c>
      <c r="AG313" s="525">
        <f t="shared" si="364"/>
        <v>8076</v>
      </c>
      <c r="AH313" s="525">
        <f t="shared" si="364"/>
        <v>16076</v>
      </c>
      <c r="AI313" s="525">
        <f t="shared" si="364"/>
        <v>16076</v>
      </c>
      <c r="AJ313" s="525"/>
      <c r="AK313" s="525"/>
      <c r="AL313" s="525">
        <f t="shared" si="364"/>
        <v>5425</v>
      </c>
      <c r="AM313" s="525">
        <f t="shared" si="364"/>
        <v>5425</v>
      </c>
      <c r="AN313" s="525">
        <f t="shared" si="364"/>
        <v>0</v>
      </c>
      <c r="AO313" s="525">
        <f t="shared" si="364"/>
        <v>0</v>
      </c>
      <c r="AP313" s="525">
        <f t="shared" si="364"/>
        <v>11425</v>
      </c>
      <c r="AQ313" s="525">
        <f t="shared" si="364"/>
        <v>11425</v>
      </c>
      <c r="AR313" s="525">
        <f t="shared" si="364"/>
        <v>0</v>
      </c>
      <c r="AS313" s="525">
        <f t="shared" si="364"/>
        <v>0</v>
      </c>
      <c r="AT313" s="503"/>
      <c r="AU313" s="484">
        <f t="shared" si="363"/>
        <v>0</v>
      </c>
      <c r="AV313" s="484"/>
      <c r="AW313" s="562"/>
      <c r="AX313" s="572"/>
      <c r="BG313" s="488">
        <f t="shared" ref="BG313:BG347" si="365">AL313-AQ313</f>
        <v>-6000</v>
      </c>
    </row>
    <row r="314" spans="1:59" s="510" customFormat="1" ht="59.25" customHeight="1">
      <c r="A314" s="556" t="s">
        <v>35</v>
      </c>
      <c r="B314" s="557" t="s">
        <v>45</v>
      </c>
      <c r="C314" s="503"/>
      <c r="D314" s="503"/>
      <c r="E314" s="503"/>
      <c r="F314" s="503"/>
      <c r="G314" s="503"/>
      <c r="H314" s="503"/>
      <c r="I314" s="503"/>
      <c r="J314" s="504"/>
      <c r="K314" s="525">
        <f t="shared" ref="K314:AS314" si="366">K315+K316+K317+K322</f>
        <v>58640</v>
      </c>
      <c r="L314" s="525">
        <f t="shared" si="366"/>
        <v>22840</v>
      </c>
      <c r="M314" s="525">
        <f t="shared" si="366"/>
        <v>35800</v>
      </c>
      <c r="N314" s="525">
        <f t="shared" si="366"/>
        <v>0</v>
      </c>
      <c r="O314" s="525">
        <f t="shared" si="366"/>
        <v>35800</v>
      </c>
      <c r="P314" s="525">
        <f t="shared" si="366"/>
        <v>0</v>
      </c>
      <c r="Q314" s="525">
        <f t="shared" si="366"/>
        <v>39300</v>
      </c>
      <c r="R314" s="525">
        <f t="shared" si="366"/>
        <v>3500</v>
      </c>
      <c r="S314" s="525">
        <f t="shared" si="366"/>
        <v>22340</v>
      </c>
      <c r="T314" s="525">
        <f t="shared" si="366"/>
        <v>22340</v>
      </c>
      <c r="U314" s="525">
        <f t="shared" si="366"/>
        <v>0</v>
      </c>
      <c r="V314" s="525">
        <f t="shared" si="366"/>
        <v>0</v>
      </c>
      <c r="W314" s="525">
        <f t="shared" si="366"/>
        <v>51151</v>
      </c>
      <c r="X314" s="525">
        <f t="shared" si="366"/>
        <v>3500</v>
      </c>
      <c r="Y314" s="525">
        <f t="shared" si="366"/>
        <v>3500</v>
      </c>
      <c r="Z314" s="525">
        <f t="shared" si="366"/>
        <v>0</v>
      </c>
      <c r="AA314" s="525">
        <f t="shared" si="366"/>
        <v>0</v>
      </c>
      <c r="AB314" s="525">
        <f t="shared" si="366"/>
        <v>12576</v>
      </c>
      <c r="AC314" s="525">
        <f t="shared" si="366"/>
        <v>12576</v>
      </c>
      <c r="AD314" s="525">
        <f t="shared" si="366"/>
        <v>0</v>
      </c>
      <c r="AE314" s="525">
        <f t="shared" si="366"/>
        <v>0</v>
      </c>
      <c r="AF314" s="525">
        <f t="shared" si="366"/>
        <v>8076</v>
      </c>
      <c r="AG314" s="525">
        <f t="shared" si="366"/>
        <v>8076</v>
      </c>
      <c r="AH314" s="525">
        <f t="shared" si="366"/>
        <v>16076</v>
      </c>
      <c r="AI314" s="525">
        <f t="shared" si="366"/>
        <v>16076</v>
      </c>
      <c r="AJ314" s="525">
        <f t="shared" si="366"/>
        <v>0</v>
      </c>
      <c r="AK314" s="525">
        <f t="shared" si="366"/>
        <v>0</v>
      </c>
      <c r="AL314" s="525">
        <f t="shared" si="366"/>
        <v>5425</v>
      </c>
      <c r="AM314" s="525">
        <f t="shared" si="366"/>
        <v>5425</v>
      </c>
      <c r="AN314" s="525">
        <f t="shared" si="366"/>
        <v>0</v>
      </c>
      <c r="AO314" s="525">
        <f t="shared" si="366"/>
        <v>0</v>
      </c>
      <c r="AP314" s="525">
        <f t="shared" si="366"/>
        <v>11425</v>
      </c>
      <c r="AQ314" s="525">
        <f t="shared" si="366"/>
        <v>11425</v>
      </c>
      <c r="AR314" s="525">
        <f t="shared" si="366"/>
        <v>0</v>
      </c>
      <c r="AS314" s="525">
        <f t="shared" si="366"/>
        <v>0</v>
      </c>
      <c r="AT314" s="503"/>
      <c r="AU314" s="484">
        <f t="shared" si="363"/>
        <v>0</v>
      </c>
      <c r="AV314" s="484"/>
      <c r="AW314" s="562"/>
      <c r="AX314" s="572"/>
      <c r="BG314" s="488">
        <f t="shared" si="365"/>
        <v>-6000</v>
      </c>
    </row>
    <row r="315" spans="1:59" s="82" customFormat="1" ht="59.25" customHeight="1">
      <c r="A315" s="543">
        <v>1</v>
      </c>
      <c r="B315" s="560" t="s">
        <v>599</v>
      </c>
      <c r="C315" s="494" t="s">
        <v>487</v>
      </c>
      <c r="D315" s="494"/>
      <c r="E315" s="494" t="s">
        <v>1001</v>
      </c>
      <c r="F315" s="494"/>
      <c r="G315" s="494"/>
      <c r="H315" s="494"/>
      <c r="I315" s="494"/>
      <c r="J315" s="495" t="s">
        <v>600</v>
      </c>
      <c r="K315" s="496">
        <v>43800</v>
      </c>
      <c r="L315" s="496">
        <v>8000</v>
      </c>
      <c r="M315" s="496">
        <v>35800</v>
      </c>
      <c r="N315" s="496"/>
      <c r="O315" s="496">
        <v>35800</v>
      </c>
      <c r="P315" s="496"/>
      <c r="Q315" s="496">
        <f>M315+X315</f>
        <v>35800</v>
      </c>
      <c r="R315" s="496">
        <f>N315+Y315</f>
        <v>0</v>
      </c>
      <c r="S315" s="496">
        <v>8000</v>
      </c>
      <c r="T315" s="496">
        <v>8000</v>
      </c>
      <c r="U315" s="496"/>
      <c r="V315" s="496"/>
      <c r="W315" s="496">
        <f>35800+5076</f>
        <v>40876</v>
      </c>
      <c r="X315" s="496"/>
      <c r="Y315" s="496"/>
      <c r="Z315" s="496"/>
      <c r="AA315" s="496"/>
      <c r="AB315" s="520">
        <v>5076</v>
      </c>
      <c r="AC315" s="496">
        <v>5076</v>
      </c>
      <c r="AD315" s="496"/>
      <c r="AE315" s="496"/>
      <c r="AF315" s="520">
        <v>5076</v>
      </c>
      <c r="AG315" s="520">
        <v>5076</v>
      </c>
      <c r="AH315" s="496">
        <f t="shared" ref="AH315:AI317" si="367">X315+AB315</f>
        <v>5076</v>
      </c>
      <c r="AI315" s="496">
        <f t="shared" si="367"/>
        <v>5076</v>
      </c>
      <c r="AJ315" s="496"/>
      <c r="AK315" s="496"/>
      <c r="AL315" s="496">
        <f t="shared" ref="AL315:AO317" si="368">AP315</f>
        <v>2925</v>
      </c>
      <c r="AM315" s="496">
        <f t="shared" si="368"/>
        <v>2925</v>
      </c>
      <c r="AN315" s="496">
        <f t="shared" si="368"/>
        <v>0</v>
      </c>
      <c r="AO315" s="496">
        <f t="shared" si="368"/>
        <v>0</v>
      </c>
      <c r="AP315" s="496">
        <f>AQ315</f>
        <v>2925</v>
      </c>
      <c r="AQ315" s="496">
        <v>2925</v>
      </c>
      <c r="AR315" s="496"/>
      <c r="AS315" s="496"/>
      <c r="AT315" s="553" t="s">
        <v>1045</v>
      </c>
      <c r="AU315" s="484">
        <f t="shared" si="363"/>
        <v>0</v>
      </c>
      <c r="AV315" s="484">
        <f>V315-AA315</f>
        <v>0</v>
      </c>
      <c r="AW315" s="553"/>
      <c r="AX315" s="548"/>
      <c r="BG315" s="488">
        <f t="shared" si="365"/>
        <v>0</v>
      </c>
    </row>
    <row r="316" spans="1:59" s="82" customFormat="1" ht="59.25" customHeight="1">
      <c r="A316" s="543">
        <v>2</v>
      </c>
      <c r="B316" s="560" t="s">
        <v>603</v>
      </c>
      <c r="C316" s="494" t="s">
        <v>595</v>
      </c>
      <c r="D316" s="494"/>
      <c r="E316" s="494" t="s">
        <v>1002</v>
      </c>
      <c r="F316" s="494"/>
      <c r="G316" s="494"/>
      <c r="H316" s="494"/>
      <c r="I316" s="494"/>
      <c r="J316" s="495"/>
      <c r="K316" s="496"/>
      <c r="L316" s="496"/>
      <c r="M316" s="496"/>
      <c r="N316" s="496"/>
      <c r="O316" s="496"/>
      <c r="P316" s="496"/>
      <c r="Q316" s="496">
        <f>M316+X316</f>
        <v>0</v>
      </c>
      <c r="R316" s="496">
        <v>0</v>
      </c>
      <c r="S316" s="496">
        <v>5500</v>
      </c>
      <c r="T316" s="496">
        <v>5500</v>
      </c>
      <c r="U316" s="496"/>
      <c r="V316" s="496"/>
      <c r="W316" s="496">
        <v>3000</v>
      </c>
      <c r="X316" s="496"/>
      <c r="Y316" s="496">
        <v>0</v>
      </c>
      <c r="Z316" s="496"/>
      <c r="AA316" s="496"/>
      <c r="AB316" s="496">
        <v>3000</v>
      </c>
      <c r="AC316" s="496">
        <v>3000</v>
      </c>
      <c r="AD316" s="496"/>
      <c r="AE316" s="496"/>
      <c r="AF316" s="520">
        <v>3000</v>
      </c>
      <c r="AG316" s="520">
        <v>3000</v>
      </c>
      <c r="AH316" s="496">
        <f t="shared" si="367"/>
        <v>3000</v>
      </c>
      <c r="AI316" s="496">
        <f t="shared" si="367"/>
        <v>3000</v>
      </c>
      <c r="AJ316" s="496"/>
      <c r="AK316" s="496"/>
      <c r="AL316" s="496">
        <f t="shared" si="368"/>
        <v>2500</v>
      </c>
      <c r="AM316" s="496">
        <f t="shared" si="368"/>
        <v>2500</v>
      </c>
      <c r="AN316" s="496">
        <f t="shared" si="368"/>
        <v>0</v>
      </c>
      <c r="AO316" s="496">
        <f t="shared" si="368"/>
        <v>0</v>
      </c>
      <c r="AP316" s="496">
        <f>AQ316</f>
        <v>2500</v>
      </c>
      <c r="AQ316" s="496">
        <f>T316-AC316</f>
        <v>2500</v>
      </c>
      <c r="AR316" s="496"/>
      <c r="AS316" s="496"/>
      <c r="AT316" s="553" t="s">
        <v>602</v>
      </c>
      <c r="AU316" s="484">
        <f t="shared" si="363"/>
        <v>0</v>
      </c>
      <c r="AV316" s="484">
        <f>V316-AA316</f>
        <v>0</v>
      </c>
      <c r="AW316" s="553"/>
      <c r="AX316" s="548"/>
      <c r="BG316" s="488">
        <f t="shared" si="365"/>
        <v>0</v>
      </c>
    </row>
    <row r="317" spans="1:59" s="82" customFormat="1" ht="59.25" customHeight="1">
      <c r="A317" s="543">
        <v>3</v>
      </c>
      <c r="B317" s="560" t="s">
        <v>601</v>
      </c>
      <c r="C317" s="494" t="s">
        <v>595</v>
      </c>
      <c r="D317" s="494"/>
      <c r="E317" s="494" t="s">
        <v>1002</v>
      </c>
      <c r="F317" s="494"/>
      <c r="G317" s="494"/>
      <c r="H317" s="494"/>
      <c r="I317" s="494"/>
      <c r="J317" s="495"/>
      <c r="K317" s="496">
        <v>8840</v>
      </c>
      <c r="L317" s="496">
        <v>8840</v>
      </c>
      <c r="M317" s="496">
        <v>0</v>
      </c>
      <c r="N317" s="496">
        <v>0</v>
      </c>
      <c r="O317" s="496">
        <v>0</v>
      </c>
      <c r="P317" s="496">
        <v>0</v>
      </c>
      <c r="Q317" s="496">
        <f>M317+X317</f>
        <v>3500</v>
      </c>
      <c r="R317" s="496">
        <f>N317+Y317</f>
        <v>3500</v>
      </c>
      <c r="S317" s="496">
        <v>8840</v>
      </c>
      <c r="T317" s="496">
        <v>8840</v>
      </c>
      <c r="U317" s="496"/>
      <c r="V317" s="496"/>
      <c r="W317" s="496">
        <f>2775+4500</f>
        <v>7275</v>
      </c>
      <c r="X317" s="496">
        <v>3500</v>
      </c>
      <c r="Y317" s="496">
        <v>3500</v>
      </c>
      <c r="Z317" s="496"/>
      <c r="AA317" s="496"/>
      <c r="AB317" s="520">
        <v>4500</v>
      </c>
      <c r="AC317" s="520">
        <v>4500</v>
      </c>
      <c r="AD317" s="496"/>
      <c r="AE317" s="496"/>
      <c r="AF317" s="496"/>
      <c r="AG317" s="496"/>
      <c r="AH317" s="496">
        <f t="shared" si="367"/>
        <v>8000</v>
      </c>
      <c r="AI317" s="496">
        <f t="shared" si="367"/>
        <v>8000</v>
      </c>
      <c r="AJ317" s="496"/>
      <c r="AK317" s="496"/>
      <c r="AL317" s="496">
        <f t="shared" si="368"/>
        <v>0</v>
      </c>
      <c r="AM317" s="496">
        <f t="shared" si="368"/>
        <v>0</v>
      </c>
      <c r="AN317" s="496">
        <f t="shared" si="368"/>
        <v>0</v>
      </c>
      <c r="AO317" s="496">
        <f t="shared" si="368"/>
        <v>0</v>
      </c>
      <c r="AP317" s="496">
        <f>AQ317</f>
        <v>0</v>
      </c>
      <c r="AQ317" s="496"/>
      <c r="AR317" s="496"/>
      <c r="AS317" s="496"/>
      <c r="AT317" s="536" t="s">
        <v>943</v>
      </c>
      <c r="AU317" s="484">
        <f t="shared" si="363"/>
        <v>0</v>
      </c>
      <c r="AV317" s="484">
        <f>V317-AA317</f>
        <v>0</v>
      </c>
      <c r="AW317" s="536"/>
      <c r="AX317" s="548"/>
      <c r="BG317" s="488">
        <f t="shared" si="365"/>
        <v>0</v>
      </c>
    </row>
    <row r="318" spans="1:59" s="82" customFormat="1" ht="59.25" hidden="1" customHeight="1">
      <c r="A318" s="543"/>
      <c r="B318" s="552"/>
      <c r="C318" s="494"/>
      <c r="D318" s="494"/>
      <c r="E318" s="494"/>
      <c r="F318" s="494"/>
      <c r="G318" s="494"/>
      <c r="H318" s="494"/>
      <c r="I318" s="494"/>
      <c r="J318" s="495"/>
      <c r="K318" s="496"/>
      <c r="L318" s="496"/>
      <c r="M318" s="496"/>
      <c r="N318" s="496"/>
      <c r="O318" s="496"/>
      <c r="P318" s="496"/>
      <c r="Q318" s="496"/>
      <c r="R318" s="496"/>
      <c r="S318" s="496"/>
      <c r="T318" s="496"/>
      <c r="U318" s="496"/>
      <c r="V318" s="496"/>
      <c r="W318" s="496"/>
      <c r="X318" s="496"/>
      <c r="Y318" s="496"/>
      <c r="Z318" s="496"/>
      <c r="AA318" s="496"/>
      <c r="AB318" s="520"/>
      <c r="AC318" s="520"/>
      <c r="AD318" s="520"/>
      <c r="AE318" s="520"/>
      <c r="AF318" s="547"/>
      <c r="AG318" s="547"/>
      <c r="AH318" s="482"/>
      <c r="AI318" s="482"/>
      <c r="AJ318" s="482"/>
      <c r="AK318" s="482"/>
      <c r="AL318" s="482"/>
      <c r="AM318" s="482"/>
      <c r="AN318" s="482"/>
      <c r="AO318" s="482"/>
      <c r="AP318" s="520"/>
      <c r="AQ318" s="520"/>
      <c r="AR318" s="520"/>
      <c r="AS318" s="520"/>
      <c r="AT318" s="553"/>
      <c r="AU318" s="484"/>
      <c r="AV318" s="484"/>
      <c r="AW318" s="553"/>
      <c r="AX318" s="548"/>
      <c r="BG318" s="488"/>
    </row>
    <row r="319" spans="1:59" s="80" customFormat="1" ht="59.25" hidden="1" customHeight="1">
      <c r="A319" s="538"/>
      <c r="B319" s="539"/>
      <c r="C319" s="526"/>
      <c r="D319" s="526"/>
      <c r="E319" s="526"/>
      <c r="F319" s="526"/>
      <c r="G319" s="526"/>
      <c r="H319" s="526"/>
      <c r="I319" s="526"/>
      <c r="J319" s="527"/>
      <c r="K319" s="482"/>
      <c r="L319" s="482"/>
      <c r="M319" s="482"/>
      <c r="N319" s="482"/>
      <c r="O319" s="482"/>
      <c r="P319" s="482"/>
      <c r="Q319" s="482"/>
      <c r="R319" s="482"/>
      <c r="S319" s="482"/>
      <c r="T319" s="482"/>
      <c r="U319" s="482"/>
      <c r="V319" s="482"/>
      <c r="W319" s="482"/>
      <c r="X319" s="482"/>
      <c r="Y319" s="482"/>
      <c r="Z319" s="482"/>
      <c r="AA319" s="482"/>
      <c r="AB319" s="482"/>
      <c r="AC319" s="482"/>
      <c r="AD319" s="482"/>
      <c r="AE319" s="482"/>
      <c r="AF319" s="482"/>
      <c r="AG319" s="482"/>
      <c r="AH319" s="482"/>
      <c r="AI319" s="482"/>
      <c r="AJ319" s="482"/>
      <c r="AK319" s="482"/>
      <c r="AL319" s="482"/>
      <c r="AM319" s="482"/>
      <c r="AN319" s="482"/>
      <c r="AO319" s="482"/>
      <c r="AP319" s="482"/>
      <c r="AQ319" s="482"/>
      <c r="AR319" s="482"/>
      <c r="AS319" s="482"/>
      <c r="AT319" s="526"/>
      <c r="AU319" s="484"/>
      <c r="AV319" s="484"/>
      <c r="AW319" s="541"/>
      <c r="AX319" s="542"/>
      <c r="BG319" s="488"/>
    </row>
    <row r="320" spans="1:59" s="80" customFormat="1" ht="59.25" hidden="1" customHeight="1">
      <c r="A320" s="619"/>
      <c r="B320" s="557"/>
      <c r="C320" s="526"/>
      <c r="D320" s="526"/>
      <c r="E320" s="526"/>
      <c r="F320" s="526"/>
      <c r="G320" s="526"/>
      <c r="H320" s="526"/>
      <c r="I320" s="526"/>
      <c r="J320" s="527"/>
      <c r="K320" s="525"/>
      <c r="L320" s="525"/>
      <c r="M320" s="525"/>
      <c r="N320" s="525"/>
      <c r="O320" s="525"/>
      <c r="P320" s="525"/>
      <c r="Q320" s="525"/>
      <c r="R320" s="525"/>
      <c r="S320" s="525"/>
      <c r="T320" s="525"/>
      <c r="U320" s="525"/>
      <c r="V320" s="525"/>
      <c r="W320" s="525"/>
      <c r="X320" s="525"/>
      <c r="Y320" s="525"/>
      <c r="Z320" s="525"/>
      <c r="AA320" s="525"/>
      <c r="AB320" s="525"/>
      <c r="AC320" s="525"/>
      <c r="AD320" s="525"/>
      <c r="AE320" s="525"/>
      <c r="AF320" s="525"/>
      <c r="AG320" s="525"/>
      <c r="AH320" s="482"/>
      <c r="AI320" s="482"/>
      <c r="AJ320" s="482"/>
      <c r="AK320" s="482"/>
      <c r="AL320" s="482"/>
      <c r="AM320" s="482"/>
      <c r="AN320" s="482"/>
      <c r="AO320" s="482"/>
      <c r="AP320" s="525"/>
      <c r="AQ320" s="525"/>
      <c r="AR320" s="525"/>
      <c r="AS320" s="525"/>
      <c r="AT320" s="526"/>
      <c r="AU320" s="484"/>
      <c r="AV320" s="501"/>
      <c r="AW320" s="541"/>
      <c r="AX320" s="542"/>
      <c r="BG320" s="488"/>
    </row>
    <row r="321" spans="1:59" s="82" customFormat="1" ht="59.25" hidden="1" customHeight="1">
      <c r="A321" s="543"/>
      <c r="B321" s="554"/>
      <c r="C321" s="494"/>
      <c r="D321" s="494"/>
      <c r="E321" s="494"/>
      <c r="F321" s="494"/>
      <c r="G321" s="494"/>
      <c r="H321" s="494"/>
      <c r="I321" s="494"/>
      <c r="J321" s="495"/>
      <c r="K321" s="496"/>
      <c r="L321" s="496"/>
      <c r="M321" s="496"/>
      <c r="N321" s="496"/>
      <c r="O321" s="496"/>
      <c r="P321" s="496"/>
      <c r="Q321" s="496"/>
      <c r="R321" s="496"/>
      <c r="S321" s="496"/>
      <c r="T321" s="496"/>
      <c r="U321" s="496"/>
      <c r="V321" s="496"/>
      <c r="W321" s="496"/>
      <c r="X321" s="496"/>
      <c r="Y321" s="496"/>
      <c r="Z321" s="496"/>
      <c r="AA321" s="496"/>
      <c r="AB321" s="520"/>
      <c r="AC321" s="520"/>
      <c r="AD321" s="496"/>
      <c r="AE321" s="496"/>
      <c r="AF321" s="496"/>
      <c r="AG321" s="496"/>
      <c r="AH321" s="482"/>
      <c r="AI321" s="482"/>
      <c r="AJ321" s="482"/>
      <c r="AK321" s="482"/>
      <c r="AL321" s="482"/>
      <c r="AM321" s="482"/>
      <c r="AN321" s="482"/>
      <c r="AO321" s="482"/>
      <c r="AP321" s="496"/>
      <c r="AQ321" s="496"/>
      <c r="AR321" s="496"/>
      <c r="AS321" s="496"/>
      <c r="AT321" s="536"/>
      <c r="AU321" s="484"/>
      <c r="AV321" s="484"/>
      <c r="AW321" s="536"/>
      <c r="AX321" s="548"/>
      <c r="BG321" s="488"/>
    </row>
    <row r="322" spans="1:59" s="82" customFormat="1" ht="59.25" customHeight="1">
      <c r="A322" s="543">
        <v>4</v>
      </c>
      <c r="B322" s="554" t="s">
        <v>1066</v>
      </c>
      <c r="C322" s="494"/>
      <c r="D322" s="494"/>
      <c r="E322" s="494"/>
      <c r="F322" s="494"/>
      <c r="G322" s="494"/>
      <c r="H322" s="494"/>
      <c r="I322" s="494"/>
      <c r="J322" s="495"/>
      <c r="K322" s="496">
        <f>L322</f>
        <v>6000</v>
      </c>
      <c r="L322" s="496">
        <v>6000</v>
      </c>
      <c r="M322" s="496"/>
      <c r="N322" s="496"/>
      <c r="O322" s="496"/>
      <c r="P322" s="496"/>
      <c r="Q322" s="496"/>
      <c r="R322" s="496"/>
      <c r="S322" s="496"/>
      <c r="T322" s="496"/>
      <c r="U322" s="496"/>
      <c r="V322" s="496"/>
      <c r="W322" s="496"/>
      <c r="X322" s="496"/>
      <c r="Y322" s="496"/>
      <c r="Z322" s="496"/>
      <c r="AA322" s="496"/>
      <c r="AB322" s="520"/>
      <c r="AC322" s="520"/>
      <c r="AD322" s="496"/>
      <c r="AE322" s="496"/>
      <c r="AF322" s="496"/>
      <c r="AG322" s="496"/>
      <c r="AH322" s="482"/>
      <c r="AI322" s="482"/>
      <c r="AJ322" s="482"/>
      <c r="AK322" s="482"/>
      <c r="AL322" s="482"/>
      <c r="AM322" s="482"/>
      <c r="AN322" s="482"/>
      <c r="AO322" s="482"/>
      <c r="AP322" s="496">
        <f>AQ322</f>
        <v>6000</v>
      </c>
      <c r="AQ322" s="496">
        <v>6000</v>
      </c>
      <c r="AR322" s="496"/>
      <c r="AS322" s="496"/>
      <c r="AT322" s="536"/>
      <c r="AU322" s="484"/>
      <c r="AV322" s="484"/>
      <c r="AW322" s="536"/>
      <c r="AX322" s="548"/>
      <c r="BG322" s="488"/>
    </row>
    <row r="323" spans="1:59" s="80" customFormat="1" ht="59.25" customHeight="1">
      <c r="A323" s="478" t="s">
        <v>46</v>
      </c>
      <c r="B323" s="539" t="s">
        <v>287</v>
      </c>
      <c r="C323" s="526"/>
      <c r="D323" s="526"/>
      <c r="E323" s="526"/>
      <c r="F323" s="526"/>
      <c r="G323" s="526"/>
      <c r="H323" s="526"/>
      <c r="I323" s="526"/>
      <c r="J323" s="527"/>
      <c r="K323" s="602">
        <f>K324</f>
        <v>56169</v>
      </c>
      <c r="L323" s="602">
        <f t="shared" ref="L323:AS323" si="369">L324</f>
        <v>56169</v>
      </c>
      <c r="M323" s="602">
        <f t="shared" si="369"/>
        <v>24341</v>
      </c>
      <c r="N323" s="602">
        <f t="shared" si="369"/>
        <v>4000</v>
      </c>
      <c r="O323" s="602">
        <f t="shared" si="369"/>
        <v>24341</v>
      </c>
      <c r="P323" s="602">
        <f t="shared" si="369"/>
        <v>4000</v>
      </c>
      <c r="Q323" s="602">
        <f t="shared" si="369"/>
        <v>32696</v>
      </c>
      <c r="R323" s="602">
        <f t="shared" si="369"/>
        <v>12355</v>
      </c>
      <c r="S323" s="602">
        <f t="shared" si="369"/>
        <v>26139</v>
      </c>
      <c r="T323" s="602">
        <f t="shared" si="369"/>
        <v>26139</v>
      </c>
      <c r="U323" s="602">
        <f t="shared" si="369"/>
        <v>0</v>
      </c>
      <c r="V323" s="602">
        <f t="shared" si="369"/>
        <v>5000</v>
      </c>
      <c r="W323" s="602">
        <f t="shared" si="369"/>
        <v>40341</v>
      </c>
      <c r="X323" s="602">
        <f t="shared" si="369"/>
        <v>8355</v>
      </c>
      <c r="Y323" s="602">
        <f t="shared" si="369"/>
        <v>8355</v>
      </c>
      <c r="Z323" s="602">
        <f t="shared" si="369"/>
        <v>0</v>
      </c>
      <c r="AA323" s="602">
        <f t="shared" si="369"/>
        <v>5000</v>
      </c>
      <c r="AB323" s="602">
        <f t="shared" si="369"/>
        <v>11000</v>
      </c>
      <c r="AC323" s="602">
        <f t="shared" si="369"/>
        <v>11000</v>
      </c>
      <c r="AD323" s="602">
        <f t="shared" si="369"/>
        <v>0</v>
      </c>
      <c r="AE323" s="602">
        <f t="shared" si="369"/>
        <v>0</v>
      </c>
      <c r="AF323" s="602">
        <f t="shared" si="369"/>
        <v>0</v>
      </c>
      <c r="AG323" s="602">
        <f t="shared" si="369"/>
        <v>0</v>
      </c>
      <c r="AH323" s="602">
        <f t="shared" si="369"/>
        <v>19355</v>
      </c>
      <c r="AI323" s="602">
        <f t="shared" si="369"/>
        <v>19355</v>
      </c>
      <c r="AJ323" s="602"/>
      <c r="AK323" s="602"/>
      <c r="AL323" s="602">
        <f t="shared" si="369"/>
        <v>6482</v>
      </c>
      <c r="AM323" s="602">
        <f t="shared" si="369"/>
        <v>6482</v>
      </c>
      <c r="AN323" s="602">
        <f t="shared" si="369"/>
        <v>0</v>
      </c>
      <c r="AO323" s="602">
        <f t="shared" si="369"/>
        <v>0</v>
      </c>
      <c r="AP323" s="602">
        <f t="shared" si="369"/>
        <v>6482</v>
      </c>
      <c r="AQ323" s="602">
        <f t="shared" si="369"/>
        <v>6482</v>
      </c>
      <c r="AR323" s="602">
        <f t="shared" si="369"/>
        <v>0</v>
      </c>
      <c r="AS323" s="602">
        <f t="shared" si="369"/>
        <v>0</v>
      </c>
      <c r="AT323" s="603"/>
      <c r="AU323" s="484">
        <f t="shared" si="363"/>
        <v>0</v>
      </c>
      <c r="AV323" s="523"/>
      <c r="AW323" s="603"/>
      <c r="AX323" s="542"/>
      <c r="BG323" s="488">
        <f t="shared" si="365"/>
        <v>0</v>
      </c>
    </row>
    <row r="324" spans="1:59" s="80" customFormat="1" ht="59.25" customHeight="1">
      <c r="A324" s="556" t="s">
        <v>35</v>
      </c>
      <c r="B324" s="557" t="s">
        <v>45</v>
      </c>
      <c r="C324" s="526"/>
      <c r="D324" s="526"/>
      <c r="E324" s="526"/>
      <c r="F324" s="526"/>
      <c r="G324" s="526"/>
      <c r="H324" s="526"/>
      <c r="I324" s="526"/>
      <c r="J324" s="527"/>
      <c r="K324" s="602">
        <f>K325</f>
        <v>56169</v>
      </c>
      <c r="L324" s="602">
        <f t="shared" ref="L324:AS324" si="370">L325</f>
        <v>56169</v>
      </c>
      <c r="M324" s="602">
        <f t="shared" si="370"/>
        <v>24341</v>
      </c>
      <c r="N324" s="602">
        <f t="shared" si="370"/>
        <v>4000</v>
      </c>
      <c r="O324" s="602">
        <f t="shared" si="370"/>
        <v>24341</v>
      </c>
      <c r="P324" s="602">
        <f t="shared" si="370"/>
        <v>4000</v>
      </c>
      <c r="Q324" s="602">
        <f t="shared" si="370"/>
        <v>32696</v>
      </c>
      <c r="R324" s="602">
        <f t="shared" si="370"/>
        <v>12355</v>
      </c>
      <c r="S324" s="602">
        <f t="shared" si="370"/>
        <v>26139</v>
      </c>
      <c r="T324" s="602">
        <f t="shared" si="370"/>
        <v>26139</v>
      </c>
      <c r="U324" s="602">
        <f t="shared" si="370"/>
        <v>0</v>
      </c>
      <c r="V324" s="602">
        <f t="shared" si="370"/>
        <v>5000</v>
      </c>
      <c r="W324" s="602">
        <f t="shared" si="370"/>
        <v>40341</v>
      </c>
      <c r="X324" s="602">
        <f t="shared" si="370"/>
        <v>8355</v>
      </c>
      <c r="Y324" s="602">
        <f t="shared" si="370"/>
        <v>8355</v>
      </c>
      <c r="Z324" s="602">
        <f t="shared" si="370"/>
        <v>0</v>
      </c>
      <c r="AA324" s="602">
        <f t="shared" si="370"/>
        <v>5000</v>
      </c>
      <c r="AB324" s="602">
        <f t="shared" si="370"/>
        <v>11000</v>
      </c>
      <c r="AC324" s="602">
        <f t="shared" si="370"/>
        <v>11000</v>
      </c>
      <c r="AD324" s="602">
        <f t="shared" si="370"/>
        <v>0</v>
      </c>
      <c r="AE324" s="602">
        <f t="shared" si="370"/>
        <v>0</v>
      </c>
      <c r="AF324" s="602">
        <f t="shared" si="370"/>
        <v>0</v>
      </c>
      <c r="AG324" s="602">
        <f t="shared" si="370"/>
        <v>0</v>
      </c>
      <c r="AH324" s="602">
        <f t="shared" si="370"/>
        <v>19355</v>
      </c>
      <c r="AI324" s="602">
        <f t="shared" si="370"/>
        <v>19355</v>
      </c>
      <c r="AJ324" s="602"/>
      <c r="AK324" s="602"/>
      <c r="AL324" s="602">
        <f t="shared" si="370"/>
        <v>6482</v>
      </c>
      <c r="AM324" s="602">
        <f t="shared" si="370"/>
        <v>6482</v>
      </c>
      <c r="AN324" s="602">
        <f t="shared" si="370"/>
        <v>0</v>
      </c>
      <c r="AO324" s="602">
        <f t="shared" si="370"/>
        <v>0</v>
      </c>
      <c r="AP324" s="602">
        <f>AP325</f>
        <v>6482</v>
      </c>
      <c r="AQ324" s="602">
        <f>AQ325</f>
        <v>6482</v>
      </c>
      <c r="AR324" s="602">
        <f t="shared" si="370"/>
        <v>0</v>
      </c>
      <c r="AS324" s="602">
        <f t="shared" si="370"/>
        <v>0</v>
      </c>
      <c r="AT324" s="603"/>
      <c r="AU324" s="484">
        <f t="shared" si="363"/>
        <v>0</v>
      </c>
      <c r="AV324" s="523"/>
      <c r="AW324" s="603"/>
      <c r="AX324" s="542"/>
      <c r="BG324" s="488">
        <f t="shared" si="365"/>
        <v>0</v>
      </c>
    </row>
    <row r="325" spans="1:59" s="82" customFormat="1" ht="59.25" customHeight="1">
      <c r="A325" s="543">
        <v>4</v>
      </c>
      <c r="B325" s="560" t="s">
        <v>596</v>
      </c>
      <c r="C325" s="494" t="s">
        <v>361</v>
      </c>
      <c r="D325" s="494"/>
      <c r="E325" s="494" t="s">
        <v>1003</v>
      </c>
      <c r="F325" s="494"/>
      <c r="G325" s="494"/>
      <c r="H325" s="494"/>
      <c r="I325" s="494"/>
      <c r="J325" s="495" t="s">
        <v>597</v>
      </c>
      <c r="K325" s="496">
        <v>56169</v>
      </c>
      <c r="L325" s="496">
        <f>K325</f>
        <v>56169</v>
      </c>
      <c r="M325" s="496">
        <v>24341</v>
      </c>
      <c r="N325" s="496">
        <v>4000</v>
      </c>
      <c r="O325" s="496">
        <v>24341</v>
      </c>
      <c r="P325" s="496">
        <v>4000</v>
      </c>
      <c r="Q325" s="496">
        <f t="shared" ref="Q325:R325" si="371">M325+X325</f>
        <v>32696</v>
      </c>
      <c r="R325" s="496">
        <f t="shared" si="371"/>
        <v>12355</v>
      </c>
      <c r="S325" s="496">
        <f>T325</f>
        <v>26139</v>
      </c>
      <c r="T325" s="496">
        <v>26139</v>
      </c>
      <c r="U325" s="496"/>
      <c r="V325" s="496">
        <v>5000</v>
      </c>
      <c r="W325" s="496">
        <f>24341+5000+11000</f>
        <v>40341</v>
      </c>
      <c r="X325" s="496">
        <v>8355</v>
      </c>
      <c r="Y325" s="496">
        <v>8355</v>
      </c>
      <c r="Z325" s="496"/>
      <c r="AA325" s="496">
        <v>5000</v>
      </c>
      <c r="AB325" s="520">
        <v>11000</v>
      </c>
      <c r="AC325" s="520">
        <v>11000</v>
      </c>
      <c r="AD325" s="496"/>
      <c r="AE325" s="496"/>
      <c r="AF325" s="496"/>
      <c r="AG325" s="496"/>
      <c r="AH325" s="496">
        <f>X325+AB325</f>
        <v>19355</v>
      </c>
      <c r="AI325" s="496">
        <f>Y325+AC325</f>
        <v>19355</v>
      </c>
      <c r="AJ325" s="496"/>
      <c r="AK325" s="496"/>
      <c r="AL325" s="496">
        <f>AP325</f>
        <v>6482</v>
      </c>
      <c r="AM325" s="496">
        <f>AQ325</f>
        <v>6482</v>
      </c>
      <c r="AN325" s="496">
        <f>AR325</f>
        <v>0</v>
      </c>
      <c r="AO325" s="496">
        <f>AS325</f>
        <v>0</v>
      </c>
      <c r="AP325" s="496">
        <f>AQ325</f>
        <v>6482</v>
      </c>
      <c r="AQ325" s="496">
        <v>6482</v>
      </c>
      <c r="AR325" s="496"/>
      <c r="AS325" s="496"/>
      <c r="AT325" s="536" t="s">
        <v>598</v>
      </c>
      <c r="AU325" s="484">
        <f t="shared" si="363"/>
        <v>0</v>
      </c>
      <c r="AV325" s="484">
        <f>V325-AA325</f>
        <v>0</v>
      </c>
      <c r="AW325" s="536"/>
      <c r="AX325" s="548"/>
      <c r="BG325" s="488">
        <f t="shared" si="365"/>
        <v>0</v>
      </c>
    </row>
    <row r="326" spans="1:59" s="80" customFormat="1" ht="59.25" customHeight="1">
      <c r="A326" s="478" t="s">
        <v>280</v>
      </c>
      <c r="B326" s="539" t="s">
        <v>289</v>
      </c>
      <c r="C326" s="615"/>
      <c r="D326" s="615"/>
      <c r="E326" s="615"/>
      <c r="F326" s="615"/>
      <c r="G326" s="615"/>
      <c r="H326" s="615"/>
      <c r="I326" s="615"/>
      <c r="J326" s="527"/>
      <c r="K326" s="602">
        <f>K327</f>
        <v>7650</v>
      </c>
      <c r="L326" s="602">
        <f t="shared" ref="L326:AS326" si="372">L327</f>
        <v>7650</v>
      </c>
      <c r="M326" s="602">
        <f t="shared" si="372"/>
        <v>0</v>
      </c>
      <c r="N326" s="602">
        <f t="shared" si="372"/>
        <v>0</v>
      </c>
      <c r="O326" s="602">
        <f t="shared" si="372"/>
        <v>0</v>
      </c>
      <c r="P326" s="602">
        <f t="shared" si="372"/>
        <v>0</v>
      </c>
      <c r="Q326" s="602">
        <f t="shared" si="372"/>
        <v>0</v>
      </c>
      <c r="R326" s="602">
        <f t="shared" si="372"/>
        <v>0</v>
      </c>
      <c r="S326" s="602">
        <f t="shared" si="372"/>
        <v>7150</v>
      </c>
      <c r="T326" s="602">
        <f t="shared" si="372"/>
        <v>7150</v>
      </c>
      <c r="U326" s="602">
        <f t="shared" si="372"/>
        <v>0</v>
      </c>
      <c r="V326" s="602">
        <f t="shared" si="372"/>
        <v>0</v>
      </c>
      <c r="W326" s="602"/>
      <c r="X326" s="602">
        <f t="shared" si="372"/>
        <v>0</v>
      </c>
      <c r="Y326" s="602">
        <f t="shared" si="372"/>
        <v>0</v>
      </c>
      <c r="Z326" s="602">
        <f t="shared" si="372"/>
        <v>0</v>
      </c>
      <c r="AA326" s="602">
        <f t="shared" si="372"/>
        <v>0</v>
      </c>
      <c r="AB326" s="602">
        <f t="shared" si="372"/>
        <v>254</v>
      </c>
      <c r="AC326" s="602">
        <f t="shared" si="372"/>
        <v>254</v>
      </c>
      <c r="AD326" s="602">
        <f t="shared" si="372"/>
        <v>0</v>
      </c>
      <c r="AE326" s="602">
        <f t="shared" si="372"/>
        <v>0</v>
      </c>
      <c r="AF326" s="602">
        <f t="shared" si="372"/>
        <v>0</v>
      </c>
      <c r="AG326" s="602">
        <f t="shared" si="372"/>
        <v>0</v>
      </c>
      <c r="AH326" s="602">
        <f t="shared" si="372"/>
        <v>254</v>
      </c>
      <c r="AI326" s="602">
        <f t="shared" si="372"/>
        <v>254</v>
      </c>
      <c r="AJ326" s="602"/>
      <c r="AK326" s="602"/>
      <c r="AL326" s="602">
        <f t="shared" si="372"/>
        <v>4060</v>
      </c>
      <c r="AM326" s="602">
        <f t="shared" si="372"/>
        <v>4060</v>
      </c>
      <c r="AN326" s="602">
        <f t="shared" si="372"/>
        <v>0</v>
      </c>
      <c r="AO326" s="602">
        <f t="shared" si="372"/>
        <v>0</v>
      </c>
      <c r="AP326" s="602">
        <f t="shared" si="372"/>
        <v>4060</v>
      </c>
      <c r="AQ326" s="602">
        <f t="shared" si="372"/>
        <v>4060</v>
      </c>
      <c r="AR326" s="602">
        <f t="shared" si="372"/>
        <v>0</v>
      </c>
      <c r="AS326" s="602">
        <f t="shared" si="372"/>
        <v>0</v>
      </c>
      <c r="AT326" s="526"/>
      <c r="AU326" s="484">
        <f t="shared" si="363"/>
        <v>0</v>
      </c>
      <c r="AV326" s="523">
        <f t="shared" si="319"/>
        <v>0</v>
      </c>
      <c r="AW326" s="526"/>
      <c r="AX326" s="531"/>
      <c r="AZ326" s="532"/>
      <c r="BA326" s="532"/>
      <c r="BG326" s="488">
        <f t="shared" si="365"/>
        <v>0</v>
      </c>
    </row>
    <row r="327" spans="1:59" s="80" customFormat="1" ht="59.25" customHeight="1">
      <c r="A327" s="556" t="s">
        <v>35</v>
      </c>
      <c r="B327" s="557" t="s">
        <v>45</v>
      </c>
      <c r="C327" s="615"/>
      <c r="D327" s="615"/>
      <c r="E327" s="615"/>
      <c r="F327" s="615"/>
      <c r="G327" s="615"/>
      <c r="H327" s="615"/>
      <c r="I327" s="615"/>
      <c r="J327" s="527"/>
      <c r="K327" s="602">
        <f>K329+K330+K331</f>
        <v>7650</v>
      </c>
      <c r="L327" s="602">
        <f t="shared" ref="L327:AS327" si="373">L329+L330+L331</f>
        <v>7650</v>
      </c>
      <c r="M327" s="602">
        <f t="shared" si="373"/>
        <v>0</v>
      </c>
      <c r="N327" s="602">
        <f t="shared" si="373"/>
        <v>0</v>
      </c>
      <c r="O327" s="602">
        <f t="shared" si="373"/>
        <v>0</v>
      </c>
      <c r="P327" s="602">
        <f t="shared" si="373"/>
        <v>0</v>
      </c>
      <c r="Q327" s="602">
        <f t="shared" si="373"/>
        <v>0</v>
      </c>
      <c r="R327" s="602">
        <f t="shared" si="373"/>
        <v>0</v>
      </c>
      <c r="S327" s="602">
        <f t="shared" si="373"/>
        <v>7150</v>
      </c>
      <c r="T327" s="602">
        <f t="shared" si="373"/>
        <v>7150</v>
      </c>
      <c r="U327" s="602">
        <f t="shared" si="373"/>
        <v>0</v>
      </c>
      <c r="V327" s="602">
        <f t="shared" si="373"/>
        <v>0</v>
      </c>
      <c r="W327" s="602">
        <f t="shared" si="373"/>
        <v>0</v>
      </c>
      <c r="X327" s="602">
        <f t="shared" si="373"/>
        <v>0</v>
      </c>
      <c r="Y327" s="602">
        <f t="shared" si="373"/>
        <v>0</v>
      </c>
      <c r="Z327" s="602">
        <f t="shared" si="373"/>
        <v>0</v>
      </c>
      <c r="AA327" s="602">
        <f t="shared" si="373"/>
        <v>0</v>
      </c>
      <c r="AB327" s="602">
        <f t="shared" si="373"/>
        <v>254</v>
      </c>
      <c r="AC327" s="602">
        <f t="shared" si="373"/>
        <v>254</v>
      </c>
      <c r="AD327" s="602">
        <f t="shared" si="373"/>
        <v>0</v>
      </c>
      <c r="AE327" s="602">
        <f t="shared" si="373"/>
        <v>0</v>
      </c>
      <c r="AF327" s="602">
        <f t="shared" si="373"/>
        <v>0</v>
      </c>
      <c r="AG327" s="602">
        <f t="shared" si="373"/>
        <v>0</v>
      </c>
      <c r="AH327" s="602">
        <f t="shared" si="373"/>
        <v>254</v>
      </c>
      <c r="AI327" s="602">
        <f t="shared" si="373"/>
        <v>254</v>
      </c>
      <c r="AJ327" s="602">
        <f t="shared" si="373"/>
        <v>0</v>
      </c>
      <c r="AK327" s="602">
        <f t="shared" si="373"/>
        <v>0</v>
      </c>
      <c r="AL327" s="602">
        <f t="shared" si="373"/>
        <v>4060</v>
      </c>
      <c r="AM327" s="602">
        <f t="shared" si="373"/>
        <v>4060</v>
      </c>
      <c r="AN327" s="602">
        <f t="shared" si="373"/>
        <v>0</v>
      </c>
      <c r="AO327" s="602">
        <f t="shared" si="373"/>
        <v>0</v>
      </c>
      <c r="AP327" s="602">
        <f t="shared" si="373"/>
        <v>4060</v>
      </c>
      <c r="AQ327" s="602">
        <f>AQ329+AQ330+AQ331</f>
        <v>4060</v>
      </c>
      <c r="AR327" s="602">
        <f t="shared" si="373"/>
        <v>0</v>
      </c>
      <c r="AS327" s="602">
        <f t="shared" si="373"/>
        <v>0</v>
      </c>
      <c r="AT327" s="526"/>
      <c r="AU327" s="484">
        <f t="shared" si="363"/>
        <v>0</v>
      </c>
      <c r="AV327" s="523"/>
      <c r="AW327" s="526"/>
      <c r="AX327" s="531"/>
      <c r="AZ327" s="532"/>
      <c r="BA327" s="532"/>
      <c r="BG327" s="488">
        <f t="shared" si="365"/>
        <v>0</v>
      </c>
    </row>
    <row r="328" spans="1:59" s="510" customFormat="1" ht="59.25" customHeight="1">
      <c r="A328" s="543">
        <v>1</v>
      </c>
      <c r="B328" s="560" t="s">
        <v>604</v>
      </c>
      <c r="C328" s="494" t="s">
        <v>361</v>
      </c>
      <c r="D328" s="494"/>
      <c r="E328" s="494"/>
      <c r="F328" s="494"/>
      <c r="G328" s="494"/>
      <c r="H328" s="503"/>
      <c r="I328" s="503"/>
      <c r="J328" s="495"/>
      <c r="K328" s="496"/>
      <c r="L328" s="496"/>
      <c r="M328" s="496"/>
      <c r="N328" s="496"/>
      <c r="O328" s="496"/>
      <c r="P328" s="496"/>
      <c r="Q328" s="496">
        <f t="shared" ref="Q328:R331" si="374">M328+X328</f>
        <v>91</v>
      </c>
      <c r="R328" s="496">
        <f t="shared" si="374"/>
        <v>91</v>
      </c>
      <c r="S328" s="496">
        <v>5500</v>
      </c>
      <c r="T328" s="496">
        <v>5500</v>
      </c>
      <c r="U328" s="496"/>
      <c r="V328" s="496"/>
      <c r="W328" s="496"/>
      <c r="X328" s="496">
        <v>91</v>
      </c>
      <c r="Y328" s="496">
        <v>91</v>
      </c>
      <c r="Z328" s="496"/>
      <c r="AA328" s="496"/>
      <c r="AB328" s="496"/>
      <c r="AC328" s="496"/>
      <c r="AD328" s="496"/>
      <c r="AE328" s="496"/>
      <c r="AF328" s="496"/>
      <c r="AG328" s="496"/>
      <c r="AH328" s="496">
        <f t="shared" si="359"/>
        <v>91</v>
      </c>
      <c r="AI328" s="496">
        <f t="shared" si="360"/>
        <v>91</v>
      </c>
      <c r="AJ328" s="496"/>
      <c r="AK328" s="496"/>
      <c r="AL328" s="496">
        <f t="shared" ref="AL328:AM376" si="375">AP328</f>
        <v>4000</v>
      </c>
      <c r="AM328" s="496">
        <f t="shared" ref="AM328:AM376" si="376">AQ328</f>
        <v>4000</v>
      </c>
      <c r="AN328" s="496">
        <f t="shared" ref="AN328:AN376" si="377">AR328</f>
        <v>0</v>
      </c>
      <c r="AO328" s="496">
        <f t="shared" ref="AO328:AO376" si="378">AS328</f>
        <v>0</v>
      </c>
      <c r="AP328" s="496">
        <f>AQ328</f>
        <v>4000</v>
      </c>
      <c r="AQ328" s="496">
        <v>4000</v>
      </c>
      <c r="AR328" s="496"/>
      <c r="AS328" s="496"/>
      <c r="AT328" s="503"/>
      <c r="AU328" s="484">
        <f t="shared" si="363"/>
        <v>0</v>
      </c>
      <c r="AV328" s="484">
        <f t="shared" si="319"/>
        <v>0</v>
      </c>
      <c r="AW328" s="562"/>
      <c r="AX328" s="572"/>
      <c r="BG328" s="488">
        <f t="shared" si="365"/>
        <v>0</v>
      </c>
    </row>
    <row r="329" spans="1:59" s="510" customFormat="1" ht="59.25" customHeight="1">
      <c r="A329" s="543">
        <v>1</v>
      </c>
      <c r="B329" s="560" t="s">
        <v>605</v>
      </c>
      <c r="C329" s="494" t="s">
        <v>398</v>
      </c>
      <c r="D329" s="494"/>
      <c r="E329" s="494" t="s">
        <v>1002</v>
      </c>
      <c r="F329" s="494"/>
      <c r="G329" s="494"/>
      <c r="H329" s="503"/>
      <c r="I329" s="503"/>
      <c r="J329" s="623" t="s">
        <v>974</v>
      </c>
      <c r="K329" s="546">
        <v>1150</v>
      </c>
      <c r="L329" s="546">
        <f>K329</f>
        <v>1150</v>
      </c>
      <c r="M329" s="496"/>
      <c r="N329" s="496"/>
      <c r="O329" s="496"/>
      <c r="P329" s="496"/>
      <c r="Q329" s="496">
        <f t="shared" si="374"/>
        <v>0</v>
      </c>
      <c r="R329" s="496">
        <f t="shared" si="374"/>
        <v>0</v>
      </c>
      <c r="S329" s="496">
        <f>T329</f>
        <v>1150</v>
      </c>
      <c r="T329" s="496">
        <v>1150</v>
      </c>
      <c r="U329" s="496"/>
      <c r="V329" s="496"/>
      <c r="W329" s="496"/>
      <c r="X329" s="496"/>
      <c r="Y329" s="496"/>
      <c r="Z329" s="496"/>
      <c r="AA329" s="496"/>
      <c r="AB329" s="496">
        <v>24</v>
      </c>
      <c r="AC329" s="496">
        <v>24</v>
      </c>
      <c r="AD329" s="496"/>
      <c r="AE329" s="496"/>
      <c r="AF329" s="496"/>
      <c r="AG329" s="496"/>
      <c r="AH329" s="496">
        <f t="shared" si="359"/>
        <v>24</v>
      </c>
      <c r="AI329" s="496">
        <f t="shared" si="360"/>
        <v>24</v>
      </c>
      <c r="AJ329" s="496"/>
      <c r="AK329" s="496"/>
      <c r="AL329" s="496">
        <f t="shared" si="375"/>
        <v>1080</v>
      </c>
      <c r="AM329" s="496">
        <f t="shared" si="375"/>
        <v>1080</v>
      </c>
      <c r="AN329" s="496">
        <f t="shared" si="377"/>
        <v>0</v>
      </c>
      <c r="AO329" s="496">
        <f t="shared" si="378"/>
        <v>0</v>
      </c>
      <c r="AP329" s="496">
        <f>1200/100*90</f>
        <v>1080</v>
      </c>
      <c r="AQ329" s="496">
        <v>1080</v>
      </c>
      <c r="AR329" s="496"/>
      <c r="AS329" s="496"/>
      <c r="AT329" s="494" t="s">
        <v>574</v>
      </c>
      <c r="AU329" s="484">
        <f t="shared" si="363"/>
        <v>0</v>
      </c>
      <c r="AV329" s="484">
        <f t="shared" si="319"/>
        <v>0</v>
      </c>
      <c r="AW329" s="562"/>
      <c r="AX329" s="572"/>
      <c r="BG329" s="488">
        <f t="shared" si="365"/>
        <v>0</v>
      </c>
    </row>
    <row r="330" spans="1:59" s="82" customFormat="1" ht="59.25" customHeight="1">
      <c r="A330" s="543">
        <v>2</v>
      </c>
      <c r="B330" s="552" t="s">
        <v>606</v>
      </c>
      <c r="C330" s="484" t="s">
        <v>359</v>
      </c>
      <c r="D330" s="484"/>
      <c r="E330" s="494" t="s">
        <v>1004</v>
      </c>
      <c r="F330" s="484"/>
      <c r="G330" s="484"/>
      <c r="H330" s="494"/>
      <c r="I330" s="494" t="s">
        <v>627</v>
      </c>
      <c r="J330" s="495" t="s">
        <v>607</v>
      </c>
      <c r="K330" s="496">
        <v>1000</v>
      </c>
      <c r="L330" s="496">
        <v>1000</v>
      </c>
      <c r="M330" s="496"/>
      <c r="N330" s="496"/>
      <c r="O330" s="496"/>
      <c r="P330" s="496"/>
      <c r="Q330" s="496">
        <f t="shared" si="374"/>
        <v>0</v>
      </c>
      <c r="R330" s="496">
        <f t="shared" si="374"/>
        <v>0</v>
      </c>
      <c r="S330" s="496">
        <v>1000</v>
      </c>
      <c r="T330" s="496">
        <v>1000</v>
      </c>
      <c r="U330" s="496"/>
      <c r="V330" s="496"/>
      <c r="W330" s="496"/>
      <c r="X330" s="496"/>
      <c r="Y330" s="496"/>
      <c r="Z330" s="496"/>
      <c r="AA330" s="496"/>
      <c r="AB330" s="496">
        <v>20</v>
      </c>
      <c r="AC330" s="496">
        <v>20</v>
      </c>
      <c r="AD330" s="496"/>
      <c r="AE330" s="496"/>
      <c r="AF330" s="496"/>
      <c r="AG330" s="496"/>
      <c r="AH330" s="496">
        <f t="shared" si="359"/>
        <v>20</v>
      </c>
      <c r="AI330" s="496">
        <f t="shared" si="360"/>
        <v>20</v>
      </c>
      <c r="AJ330" s="496"/>
      <c r="AK330" s="496"/>
      <c r="AL330" s="496">
        <f t="shared" ref="AL330:AL331" si="379">AP330</f>
        <v>980</v>
      </c>
      <c r="AM330" s="496">
        <f t="shared" ref="AM330:AM331" si="380">AQ330</f>
        <v>980</v>
      </c>
      <c r="AN330" s="496">
        <f t="shared" si="377"/>
        <v>0</v>
      </c>
      <c r="AO330" s="496">
        <f t="shared" si="378"/>
        <v>0</v>
      </c>
      <c r="AP330" s="496">
        <f>AQ330</f>
        <v>980</v>
      </c>
      <c r="AQ330" s="496">
        <v>980</v>
      </c>
      <c r="AR330" s="496"/>
      <c r="AS330" s="496"/>
      <c r="AT330" s="623" t="s">
        <v>574</v>
      </c>
      <c r="AU330" s="484">
        <f t="shared" si="363"/>
        <v>0</v>
      </c>
      <c r="AV330" s="484">
        <f t="shared" si="319"/>
        <v>0</v>
      </c>
      <c r="AW330" s="623"/>
      <c r="AX330" s="548"/>
      <c r="BG330" s="488">
        <f t="shared" si="365"/>
        <v>0</v>
      </c>
    </row>
    <row r="331" spans="1:59" s="82" customFormat="1" ht="59.25" customHeight="1">
      <c r="A331" s="543">
        <v>3</v>
      </c>
      <c r="B331" s="560" t="s">
        <v>980</v>
      </c>
      <c r="C331" s="494" t="s">
        <v>361</v>
      </c>
      <c r="D331" s="494"/>
      <c r="E331" s="494" t="s">
        <v>1003</v>
      </c>
      <c r="F331" s="494"/>
      <c r="G331" s="494"/>
      <c r="H331" s="494"/>
      <c r="I331" s="494"/>
      <c r="J331" s="495"/>
      <c r="K331" s="496">
        <v>5500</v>
      </c>
      <c r="L331" s="496">
        <v>5500</v>
      </c>
      <c r="M331" s="496"/>
      <c r="N331" s="496"/>
      <c r="O331" s="496"/>
      <c r="P331" s="496"/>
      <c r="Q331" s="496">
        <f t="shared" si="374"/>
        <v>0</v>
      </c>
      <c r="R331" s="496">
        <f t="shared" si="374"/>
        <v>0</v>
      </c>
      <c r="S331" s="496">
        <v>5000</v>
      </c>
      <c r="T331" s="496">
        <v>5000</v>
      </c>
      <c r="U331" s="496"/>
      <c r="V331" s="496"/>
      <c r="W331" s="496"/>
      <c r="X331" s="496"/>
      <c r="Y331" s="496"/>
      <c r="Z331" s="496"/>
      <c r="AA331" s="496"/>
      <c r="AB331" s="496">
        <v>210</v>
      </c>
      <c r="AC331" s="496">
        <v>210</v>
      </c>
      <c r="AD331" s="496"/>
      <c r="AE331" s="496"/>
      <c r="AF331" s="496"/>
      <c r="AG331" s="496"/>
      <c r="AH331" s="496">
        <f t="shared" ref="AH331:AI331" si="381">X331+AB331</f>
        <v>210</v>
      </c>
      <c r="AI331" s="496">
        <f t="shared" si="381"/>
        <v>210</v>
      </c>
      <c r="AJ331" s="496"/>
      <c r="AK331" s="496"/>
      <c r="AL331" s="496">
        <f t="shared" si="379"/>
        <v>2000</v>
      </c>
      <c r="AM331" s="496">
        <f t="shared" si="380"/>
        <v>2000</v>
      </c>
      <c r="AN331" s="496">
        <f t="shared" ref="AN331:AO331" si="382">AR331</f>
        <v>0</v>
      </c>
      <c r="AO331" s="496">
        <f t="shared" si="382"/>
        <v>0</v>
      </c>
      <c r="AP331" s="496">
        <f>AQ331</f>
        <v>2000</v>
      </c>
      <c r="AQ331" s="496">
        <v>2000</v>
      </c>
      <c r="AR331" s="496"/>
      <c r="AS331" s="496"/>
      <c r="AT331" s="623" t="s">
        <v>574</v>
      </c>
      <c r="AU331" s="484">
        <f>AP331-AQ331</f>
        <v>0</v>
      </c>
      <c r="AV331" s="484">
        <f>V331-AA331</f>
        <v>0</v>
      </c>
      <c r="AW331" s="657">
        <f>AB331</f>
        <v>210</v>
      </c>
      <c r="AX331" s="548">
        <f>S331</f>
        <v>5000</v>
      </c>
      <c r="BF331" s="82">
        <f>AQ331</f>
        <v>2000</v>
      </c>
      <c r="BG331" s="488">
        <f t="shared" si="365"/>
        <v>0</v>
      </c>
    </row>
    <row r="332" spans="1:59" s="81" customFormat="1" ht="59.25" customHeight="1">
      <c r="A332" s="549">
        <v>3</v>
      </c>
      <c r="B332" s="534" t="s">
        <v>388</v>
      </c>
      <c r="C332" s="489"/>
      <c r="D332" s="489"/>
      <c r="E332" s="489"/>
      <c r="F332" s="489"/>
      <c r="G332" s="489"/>
      <c r="H332" s="480"/>
      <c r="I332" s="480"/>
      <c r="J332" s="481"/>
      <c r="K332" s="482">
        <f t="shared" ref="K332:AS332" si="383">K333</f>
        <v>0</v>
      </c>
      <c r="L332" s="482">
        <f t="shared" si="383"/>
        <v>0</v>
      </c>
      <c r="M332" s="482">
        <f t="shared" si="383"/>
        <v>0</v>
      </c>
      <c r="N332" s="482">
        <f t="shared" si="383"/>
        <v>0</v>
      </c>
      <c r="O332" s="482">
        <f t="shared" si="383"/>
        <v>0</v>
      </c>
      <c r="P332" s="482">
        <f t="shared" si="383"/>
        <v>0</v>
      </c>
      <c r="Q332" s="482">
        <f t="shared" si="383"/>
        <v>0</v>
      </c>
      <c r="R332" s="482">
        <f t="shared" si="383"/>
        <v>0</v>
      </c>
      <c r="S332" s="482">
        <f t="shared" si="383"/>
        <v>18200</v>
      </c>
      <c r="T332" s="482">
        <f t="shared" si="383"/>
        <v>18200</v>
      </c>
      <c r="U332" s="482">
        <f t="shared" si="383"/>
        <v>0</v>
      </c>
      <c r="V332" s="482">
        <f t="shared" si="383"/>
        <v>0</v>
      </c>
      <c r="W332" s="482"/>
      <c r="X332" s="482">
        <f t="shared" si="383"/>
        <v>0</v>
      </c>
      <c r="Y332" s="482">
        <f t="shared" si="383"/>
        <v>0</v>
      </c>
      <c r="Z332" s="482">
        <f t="shared" si="383"/>
        <v>0</v>
      </c>
      <c r="AA332" s="482">
        <f t="shared" si="383"/>
        <v>0</v>
      </c>
      <c r="AB332" s="482">
        <f t="shared" si="383"/>
        <v>0</v>
      </c>
      <c r="AC332" s="482">
        <f t="shared" si="383"/>
        <v>0</v>
      </c>
      <c r="AD332" s="482">
        <f t="shared" si="383"/>
        <v>0</v>
      </c>
      <c r="AE332" s="482">
        <f t="shared" si="383"/>
        <v>0</v>
      </c>
      <c r="AF332" s="482">
        <f t="shared" si="383"/>
        <v>0</v>
      </c>
      <c r="AG332" s="482">
        <f t="shared" si="383"/>
        <v>0</v>
      </c>
      <c r="AH332" s="482">
        <f t="shared" si="383"/>
        <v>0</v>
      </c>
      <c r="AI332" s="482">
        <f t="shared" si="383"/>
        <v>0</v>
      </c>
      <c r="AJ332" s="482"/>
      <c r="AK332" s="482"/>
      <c r="AL332" s="482">
        <f t="shared" si="383"/>
        <v>1750</v>
      </c>
      <c r="AM332" s="482">
        <f t="shared" si="383"/>
        <v>1750</v>
      </c>
      <c r="AN332" s="482">
        <f t="shared" si="383"/>
        <v>0</v>
      </c>
      <c r="AO332" s="482">
        <f t="shared" si="383"/>
        <v>0</v>
      </c>
      <c r="AP332" s="482">
        <f t="shared" si="383"/>
        <v>1750</v>
      </c>
      <c r="AQ332" s="482">
        <f t="shared" si="383"/>
        <v>1750</v>
      </c>
      <c r="AR332" s="482">
        <f t="shared" si="383"/>
        <v>0</v>
      </c>
      <c r="AS332" s="482">
        <f t="shared" si="383"/>
        <v>0</v>
      </c>
      <c r="AT332" s="658"/>
      <c r="AU332" s="484">
        <f t="shared" si="363"/>
        <v>0</v>
      </c>
      <c r="AV332" s="489"/>
      <c r="AW332" s="658"/>
      <c r="AX332" s="537"/>
      <c r="BG332" s="488">
        <f t="shared" si="365"/>
        <v>0</v>
      </c>
    </row>
    <row r="333" spans="1:59" s="81" customFormat="1" ht="59.25" customHeight="1">
      <c r="A333" s="556" t="s">
        <v>35</v>
      </c>
      <c r="B333" s="557" t="s">
        <v>45</v>
      </c>
      <c r="C333" s="489"/>
      <c r="D333" s="489"/>
      <c r="E333" s="489"/>
      <c r="F333" s="489"/>
      <c r="G333" s="489"/>
      <c r="H333" s="480"/>
      <c r="I333" s="480"/>
      <c r="J333" s="481"/>
      <c r="K333" s="482">
        <f t="shared" ref="K333:R333" si="384">SUM(K334:K340)</f>
        <v>0</v>
      </c>
      <c r="L333" s="482">
        <f t="shared" si="384"/>
        <v>0</v>
      </c>
      <c r="M333" s="482">
        <f t="shared" si="384"/>
        <v>0</v>
      </c>
      <c r="N333" s="482">
        <f t="shared" si="384"/>
        <v>0</v>
      </c>
      <c r="O333" s="482">
        <f t="shared" si="384"/>
        <v>0</v>
      </c>
      <c r="P333" s="482">
        <f t="shared" si="384"/>
        <v>0</v>
      </c>
      <c r="Q333" s="482">
        <f t="shared" si="384"/>
        <v>0</v>
      </c>
      <c r="R333" s="482">
        <f t="shared" si="384"/>
        <v>0</v>
      </c>
      <c r="S333" s="482">
        <f t="shared" ref="S333:AP333" si="385">S336+S337+S338+S339+S340</f>
        <v>18200</v>
      </c>
      <c r="T333" s="482">
        <f>T336+T337+T338+T339+T340</f>
        <v>18200</v>
      </c>
      <c r="U333" s="482">
        <f t="shared" si="385"/>
        <v>0</v>
      </c>
      <c r="V333" s="482">
        <f t="shared" si="385"/>
        <v>0</v>
      </c>
      <c r="W333" s="482">
        <f t="shared" si="385"/>
        <v>0</v>
      </c>
      <c r="X333" s="482">
        <f t="shared" si="385"/>
        <v>0</v>
      </c>
      <c r="Y333" s="482">
        <f t="shared" si="385"/>
        <v>0</v>
      </c>
      <c r="Z333" s="482">
        <f t="shared" si="385"/>
        <v>0</v>
      </c>
      <c r="AA333" s="482">
        <f t="shared" si="385"/>
        <v>0</v>
      </c>
      <c r="AB333" s="482">
        <f t="shared" si="385"/>
        <v>0</v>
      </c>
      <c r="AC333" s="482">
        <f t="shared" si="385"/>
        <v>0</v>
      </c>
      <c r="AD333" s="482">
        <f t="shared" si="385"/>
        <v>0</v>
      </c>
      <c r="AE333" s="482">
        <f t="shared" si="385"/>
        <v>0</v>
      </c>
      <c r="AF333" s="482">
        <f t="shared" si="385"/>
        <v>0</v>
      </c>
      <c r="AG333" s="482">
        <f t="shared" si="385"/>
        <v>0</v>
      </c>
      <c r="AH333" s="482">
        <f t="shared" si="385"/>
        <v>0</v>
      </c>
      <c r="AI333" s="482">
        <f t="shared" si="385"/>
        <v>0</v>
      </c>
      <c r="AJ333" s="482">
        <f t="shared" si="385"/>
        <v>0</v>
      </c>
      <c r="AK333" s="482">
        <f t="shared" si="385"/>
        <v>0</v>
      </c>
      <c r="AL333" s="482">
        <f t="shared" si="385"/>
        <v>1750</v>
      </c>
      <c r="AM333" s="482">
        <f t="shared" si="385"/>
        <v>1750</v>
      </c>
      <c r="AN333" s="482">
        <f t="shared" si="385"/>
        <v>0</v>
      </c>
      <c r="AO333" s="482">
        <f t="shared" si="385"/>
        <v>0</v>
      </c>
      <c r="AP333" s="482">
        <f t="shared" si="385"/>
        <v>1750</v>
      </c>
      <c r="AQ333" s="482">
        <f>AQ336+AQ337+AQ338+AQ339+AQ340</f>
        <v>1750</v>
      </c>
      <c r="AR333" s="482">
        <f t="shared" ref="AR333:AS333" si="386">SUM(AR334:AR340)</f>
        <v>0</v>
      </c>
      <c r="AS333" s="482">
        <f t="shared" si="386"/>
        <v>0</v>
      </c>
      <c r="AT333" s="658"/>
      <c r="AU333" s="484">
        <f t="shared" si="363"/>
        <v>0</v>
      </c>
      <c r="AV333" s="489"/>
      <c r="AW333" s="658"/>
      <c r="AX333" s="537"/>
      <c r="BG333" s="488">
        <f t="shared" si="365"/>
        <v>0</v>
      </c>
    </row>
    <row r="334" spans="1:59" s="82" customFormat="1" ht="59.25" customHeight="1">
      <c r="A334" s="543">
        <v>4</v>
      </c>
      <c r="B334" s="560" t="s">
        <v>608</v>
      </c>
      <c r="C334" s="545" t="s">
        <v>333</v>
      </c>
      <c r="D334" s="545"/>
      <c r="E334" s="545"/>
      <c r="F334" s="545"/>
      <c r="G334" s="545"/>
      <c r="H334" s="494"/>
      <c r="I334" s="494"/>
      <c r="J334" s="495"/>
      <c r="K334" s="496"/>
      <c r="L334" s="496"/>
      <c r="M334" s="496"/>
      <c r="N334" s="496"/>
      <c r="O334" s="496"/>
      <c r="P334" s="496"/>
      <c r="Q334" s="496">
        <f t="shared" ref="Q334:R340" si="387">M334+X334</f>
        <v>0</v>
      </c>
      <c r="R334" s="496">
        <f t="shared" si="387"/>
        <v>0</v>
      </c>
      <c r="S334" s="496">
        <v>3500</v>
      </c>
      <c r="T334" s="496">
        <v>3500</v>
      </c>
      <c r="U334" s="496"/>
      <c r="V334" s="496"/>
      <c r="W334" s="496"/>
      <c r="X334" s="496"/>
      <c r="Y334" s="496"/>
      <c r="Z334" s="496"/>
      <c r="AA334" s="496"/>
      <c r="AB334" s="496"/>
      <c r="AC334" s="496"/>
      <c r="AD334" s="496"/>
      <c r="AE334" s="496"/>
      <c r="AF334" s="496"/>
      <c r="AG334" s="496"/>
      <c r="AH334" s="496">
        <f t="shared" si="359"/>
        <v>0</v>
      </c>
      <c r="AI334" s="496">
        <f t="shared" si="360"/>
        <v>0</v>
      </c>
      <c r="AJ334" s="496"/>
      <c r="AK334" s="496"/>
      <c r="AL334" s="496">
        <f t="shared" si="375"/>
        <v>0</v>
      </c>
      <c r="AM334" s="496">
        <f t="shared" si="376"/>
        <v>0</v>
      </c>
      <c r="AN334" s="496">
        <f t="shared" si="377"/>
        <v>0</v>
      </c>
      <c r="AO334" s="496">
        <f t="shared" si="378"/>
        <v>0</v>
      </c>
      <c r="AP334" s="496"/>
      <c r="AQ334" s="496"/>
      <c r="AR334" s="496"/>
      <c r="AS334" s="496"/>
      <c r="AT334" s="494"/>
      <c r="AU334" s="484">
        <f t="shared" si="363"/>
        <v>0</v>
      </c>
      <c r="AV334" s="484">
        <f t="shared" si="319"/>
        <v>0</v>
      </c>
      <c r="AW334" s="521"/>
      <c r="AX334" s="548"/>
      <c r="BG334" s="488">
        <f t="shared" si="365"/>
        <v>0</v>
      </c>
    </row>
    <row r="335" spans="1:59" s="82" customFormat="1" ht="59.25" customHeight="1">
      <c r="A335" s="543">
        <v>6</v>
      </c>
      <c r="B335" s="560" t="s">
        <v>609</v>
      </c>
      <c r="C335" s="545" t="s">
        <v>333</v>
      </c>
      <c r="D335" s="545"/>
      <c r="E335" s="545"/>
      <c r="F335" s="545"/>
      <c r="G335" s="545"/>
      <c r="H335" s="494"/>
      <c r="I335" s="494"/>
      <c r="J335" s="495"/>
      <c r="K335" s="496"/>
      <c r="L335" s="496"/>
      <c r="M335" s="496"/>
      <c r="N335" s="496"/>
      <c r="O335" s="496"/>
      <c r="P335" s="496"/>
      <c r="Q335" s="496">
        <f t="shared" si="387"/>
        <v>0</v>
      </c>
      <c r="R335" s="496">
        <f t="shared" si="387"/>
        <v>0</v>
      </c>
      <c r="S335" s="496">
        <v>3000</v>
      </c>
      <c r="T335" s="496">
        <v>3000</v>
      </c>
      <c r="U335" s="496"/>
      <c r="V335" s="496"/>
      <c r="W335" s="496"/>
      <c r="X335" s="496"/>
      <c r="Y335" s="496"/>
      <c r="Z335" s="496"/>
      <c r="AA335" s="496"/>
      <c r="AB335" s="496"/>
      <c r="AC335" s="496"/>
      <c r="AD335" s="496"/>
      <c r="AE335" s="496"/>
      <c r="AF335" s="496"/>
      <c r="AG335" s="496"/>
      <c r="AH335" s="496">
        <f t="shared" si="359"/>
        <v>0</v>
      </c>
      <c r="AI335" s="496">
        <f t="shared" si="360"/>
        <v>0</v>
      </c>
      <c r="AJ335" s="496"/>
      <c r="AK335" s="496"/>
      <c r="AL335" s="496">
        <f t="shared" si="375"/>
        <v>0</v>
      </c>
      <c r="AM335" s="496">
        <f t="shared" si="376"/>
        <v>0</v>
      </c>
      <c r="AN335" s="496">
        <f t="shared" si="377"/>
        <v>0</v>
      </c>
      <c r="AO335" s="496">
        <f t="shared" si="378"/>
        <v>0</v>
      </c>
      <c r="AP335" s="496"/>
      <c r="AQ335" s="496"/>
      <c r="AR335" s="496"/>
      <c r="AS335" s="496"/>
      <c r="AT335" s="623" t="s">
        <v>610</v>
      </c>
      <c r="AU335" s="484">
        <f t="shared" si="363"/>
        <v>0</v>
      </c>
      <c r="AV335" s="484">
        <f t="shared" si="319"/>
        <v>0</v>
      </c>
      <c r="AW335" s="623"/>
      <c r="AX335" s="548"/>
      <c r="BG335" s="488">
        <f t="shared" si="365"/>
        <v>0</v>
      </c>
    </row>
    <row r="336" spans="1:59" s="82" customFormat="1" ht="59.25" customHeight="1">
      <c r="A336" s="543">
        <v>7</v>
      </c>
      <c r="B336" s="552" t="s">
        <v>611</v>
      </c>
      <c r="C336" s="582" t="s">
        <v>612</v>
      </c>
      <c r="D336" s="582"/>
      <c r="E336" s="494" t="s">
        <v>985</v>
      </c>
      <c r="F336" s="582"/>
      <c r="G336" s="582"/>
      <c r="H336" s="494"/>
      <c r="I336" s="494"/>
      <c r="J336" s="495"/>
      <c r="K336" s="496"/>
      <c r="L336" s="496"/>
      <c r="M336" s="496"/>
      <c r="N336" s="496"/>
      <c r="O336" s="496"/>
      <c r="P336" s="496"/>
      <c r="Q336" s="496">
        <f t="shared" si="387"/>
        <v>0</v>
      </c>
      <c r="R336" s="496">
        <f t="shared" si="387"/>
        <v>0</v>
      </c>
      <c r="S336" s="520">
        <v>3900</v>
      </c>
      <c r="T336" s="520">
        <v>3900</v>
      </c>
      <c r="U336" s="496"/>
      <c r="V336" s="496"/>
      <c r="W336" s="496"/>
      <c r="X336" s="496"/>
      <c r="Y336" s="496"/>
      <c r="Z336" s="496"/>
      <c r="AA336" s="496"/>
      <c r="AB336" s="520"/>
      <c r="AC336" s="520"/>
      <c r="AD336" s="496"/>
      <c r="AE336" s="496"/>
      <c r="AF336" s="659"/>
      <c r="AG336" s="659"/>
      <c r="AH336" s="496">
        <f t="shared" si="359"/>
        <v>0</v>
      </c>
      <c r="AI336" s="496">
        <f t="shared" si="360"/>
        <v>0</v>
      </c>
      <c r="AJ336" s="496"/>
      <c r="AK336" s="496"/>
      <c r="AL336" s="496">
        <f t="shared" si="375"/>
        <v>350</v>
      </c>
      <c r="AM336" s="496">
        <f t="shared" si="376"/>
        <v>350</v>
      </c>
      <c r="AN336" s="496">
        <f t="shared" si="377"/>
        <v>0</v>
      </c>
      <c r="AO336" s="496">
        <f t="shared" si="378"/>
        <v>0</v>
      </c>
      <c r="AP336" s="659">
        <f>AQ336</f>
        <v>350</v>
      </c>
      <c r="AQ336" s="496">
        <v>350</v>
      </c>
      <c r="AR336" s="659"/>
      <c r="AS336" s="659"/>
      <c r="AT336" s="660"/>
      <c r="AU336" s="484">
        <f t="shared" si="363"/>
        <v>0</v>
      </c>
      <c r="AV336" s="484">
        <f t="shared" si="319"/>
        <v>0</v>
      </c>
      <c r="AW336" s="660"/>
      <c r="AX336" s="548"/>
      <c r="BG336" s="488">
        <f t="shared" si="365"/>
        <v>0</v>
      </c>
    </row>
    <row r="337" spans="1:59" s="82" customFormat="1" ht="59.25" customHeight="1">
      <c r="A337" s="543">
        <v>8</v>
      </c>
      <c r="B337" s="552" t="s">
        <v>613</v>
      </c>
      <c r="C337" s="545" t="s">
        <v>442</v>
      </c>
      <c r="D337" s="545"/>
      <c r="E337" s="494" t="s">
        <v>992</v>
      </c>
      <c r="F337" s="545"/>
      <c r="G337" s="545"/>
      <c r="H337" s="494"/>
      <c r="I337" s="494"/>
      <c r="J337" s="495"/>
      <c r="K337" s="496"/>
      <c r="L337" s="496"/>
      <c r="M337" s="496"/>
      <c r="N337" s="496"/>
      <c r="O337" s="496"/>
      <c r="P337" s="496"/>
      <c r="Q337" s="496">
        <f t="shared" si="387"/>
        <v>0</v>
      </c>
      <c r="R337" s="496">
        <f t="shared" si="387"/>
        <v>0</v>
      </c>
      <c r="S337" s="520">
        <v>3900</v>
      </c>
      <c r="T337" s="520">
        <v>3900</v>
      </c>
      <c r="U337" s="496"/>
      <c r="V337" s="496"/>
      <c r="W337" s="496"/>
      <c r="X337" s="496"/>
      <c r="Y337" s="496"/>
      <c r="Z337" s="496"/>
      <c r="AA337" s="496"/>
      <c r="AB337" s="520"/>
      <c r="AC337" s="520"/>
      <c r="AD337" s="496"/>
      <c r="AE337" s="496"/>
      <c r="AF337" s="659"/>
      <c r="AG337" s="659"/>
      <c r="AH337" s="496">
        <f t="shared" si="359"/>
        <v>0</v>
      </c>
      <c r="AI337" s="496">
        <f t="shared" si="360"/>
        <v>0</v>
      </c>
      <c r="AJ337" s="496"/>
      <c r="AK337" s="496"/>
      <c r="AL337" s="496">
        <f t="shared" si="375"/>
        <v>350</v>
      </c>
      <c r="AM337" s="496">
        <f t="shared" si="376"/>
        <v>350</v>
      </c>
      <c r="AN337" s="496">
        <f t="shared" si="377"/>
        <v>0</v>
      </c>
      <c r="AO337" s="496">
        <f t="shared" si="378"/>
        <v>0</v>
      </c>
      <c r="AP337" s="659">
        <f t="shared" ref="AP337:AP340" si="388">AQ337</f>
        <v>350</v>
      </c>
      <c r="AQ337" s="496">
        <v>350</v>
      </c>
      <c r="AR337" s="659"/>
      <c r="AS337" s="659"/>
      <c r="AT337" s="660"/>
      <c r="AU337" s="484">
        <f t="shared" si="363"/>
        <v>0</v>
      </c>
      <c r="AV337" s="484">
        <f t="shared" si="319"/>
        <v>0</v>
      </c>
      <c r="AW337" s="660"/>
      <c r="AX337" s="548"/>
      <c r="BG337" s="488">
        <f t="shared" si="365"/>
        <v>0</v>
      </c>
    </row>
    <row r="338" spans="1:59" s="82" customFormat="1" ht="59.25" customHeight="1">
      <c r="A338" s="543">
        <v>9</v>
      </c>
      <c r="B338" s="552" t="s">
        <v>614</v>
      </c>
      <c r="C338" s="545" t="s">
        <v>538</v>
      </c>
      <c r="D338" s="545"/>
      <c r="E338" s="494" t="s">
        <v>997</v>
      </c>
      <c r="F338" s="545"/>
      <c r="G338" s="545"/>
      <c r="H338" s="494"/>
      <c r="I338" s="494"/>
      <c r="J338" s="495"/>
      <c r="K338" s="496"/>
      <c r="L338" s="496"/>
      <c r="M338" s="496"/>
      <c r="N338" s="496"/>
      <c r="O338" s="496"/>
      <c r="P338" s="496"/>
      <c r="Q338" s="496">
        <f t="shared" si="387"/>
        <v>0</v>
      </c>
      <c r="R338" s="496">
        <f t="shared" si="387"/>
        <v>0</v>
      </c>
      <c r="S338" s="520">
        <v>3900</v>
      </c>
      <c r="T338" s="520">
        <v>3900</v>
      </c>
      <c r="U338" s="496"/>
      <c r="V338" s="496"/>
      <c r="W338" s="496"/>
      <c r="X338" s="496"/>
      <c r="Y338" s="496"/>
      <c r="Z338" s="496"/>
      <c r="AA338" s="496"/>
      <c r="AB338" s="520"/>
      <c r="AC338" s="520"/>
      <c r="AD338" s="496"/>
      <c r="AE338" s="496"/>
      <c r="AF338" s="659"/>
      <c r="AG338" s="659"/>
      <c r="AH338" s="496">
        <f t="shared" si="359"/>
        <v>0</v>
      </c>
      <c r="AI338" s="496">
        <f t="shared" si="360"/>
        <v>0</v>
      </c>
      <c r="AJ338" s="496"/>
      <c r="AK338" s="496"/>
      <c r="AL338" s="496">
        <f t="shared" si="375"/>
        <v>350</v>
      </c>
      <c r="AM338" s="496">
        <f t="shared" si="376"/>
        <v>350</v>
      </c>
      <c r="AN338" s="496">
        <f t="shared" si="377"/>
        <v>0</v>
      </c>
      <c r="AO338" s="496">
        <f t="shared" si="378"/>
        <v>0</v>
      </c>
      <c r="AP338" s="659">
        <f t="shared" si="388"/>
        <v>350</v>
      </c>
      <c r="AQ338" s="496">
        <v>350</v>
      </c>
      <c r="AR338" s="659"/>
      <c r="AS338" s="659"/>
      <c r="AT338" s="660"/>
      <c r="AU338" s="484">
        <f t="shared" si="363"/>
        <v>0</v>
      </c>
      <c r="AV338" s="484">
        <f t="shared" si="319"/>
        <v>0</v>
      </c>
      <c r="AW338" s="660"/>
      <c r="AX338" s="548"/>
      <c r="BG338" s="488">
        <f t="shared" si="365"/>
        <v>0</v>
      </c>
    </row>
    <row r="339" spans="1:59" s="82" customFormat="1" ht="59.25" customHeight="1">
      <c r="A339" s="543">
        <v>10</v>
      </c>
      <c r="B339" s="552" t="s">
        <v>615</v>
      </c>
      <c r="C339" s="582" t="s">
        <v>616</v>
      </c>
      <c r="D339" s="582"/>
      <c r="E339" s="494" t="s">
        <v>993</v>
      </c>
      <c r="F339" s="582"/>
      <c r="G339" s="582"/>
      <c r="H339" s="494"/>
      <c r="I339" s="494"/>
      <c r="J339" s="495"/>
      <c r="K339" s="496"/>
      <c r="L339" s="496"/>
      <c r="M339" s="496"/>
      <c r="N339" s="496"/>
      <c r="O339" s="496"/>
      <c r="P339" s="496"/>
      <c r="Q339" s="496">
        <f t="shared" si="387"/>
        <v>0</v>
      </c>
      <c r="R339" s="496">
        <f t="shared" si="387"/>
        <v>0</v>
      </c>
      <c r="S339" s="496">
        <v>2600</v>
      </c>
      <c r="T339" s="496">
        <v>2600</v>
      </c>
      <c r="U339" s="496"/>
      <c r="V339" s="496"/>
      <c r="W339" s="496"/>
      <c r="X339" s="496"/>
      <c r="Y339" s="496"/>
      <c r="Z339" s="496"/>
      <c r="AA339" s="496"/>
      <c r="AB339" s="520"/>
      <c r="AC339" s="520"/>
      <c r="AD339" s="496"/>
      <c r="AE339" s="496"/>
      <c r="AF339" s="659"/>
      <c r="AG339" s="659"/>
      <c r="AH339" s="496">
        <f t="shared" si="359"/>
        <v>0</v>
      </c>
      <c r="AI339" s="496">
        <f t="shared" si="360"/>
        <v>0</v>
      </c>
      <c r="AJ339" s="496"/>
      <c r="AK339" s="496"/>
      <c r="AL339" s="496">
        <f t="shared" si="375"/>
        <v>350</v>
      </c>
      <c r="AM339" s="496">
        <f t="shared" si="376"/>
        <v>350</v>
      </c>
      <c r="AN339" s="496">
        <f t="shared" si="377"/>
        <v>0</v>
      </c>
      <c r="AO339" s="496">
        <f t="shared" si="378"/>
        <v>0</v>
      </c>
      <c r="AP339" s="659">
        <f t="shared" si="388"/>
        <v>350</v>
      </c>
      <c r="AQ339" s="496">
        <v>350</v>
      </c>
      <c r="AR339" s="659"/>
      <c r="AS339" s="659"/>
      <c r="AT339" s="660"/>
      <c r="AU339" s="484">
        <f t="shared" si="363"/>
        <v>0</v>
      </c>
      <c r="AV339" s="484">
        <f t="shared" si="319"/>
        <v>0</v>
      </c>
      <c r="AW339" s="660"/>
      <c r="AX339" s="548"/>
      <c r="BG339" s="488">
        <f t="shared" si="365"/>
        <v>0</v>
      </c>
    </row>
    <row r="340" spans="1:59" s="82" customFormat="1" ht="59.25" customHeight="1">
      <c r="A340" s="543">
        <v>11</v>
      </c>
      <c r="B340" s="552" t="s">
        <v>617</v>
      </c>
      <c r="C340" s="582" t="s">
        <v>398</v>
      </c>
      <c r="D340" s="582"/>
      <c r="E340" s="494" t="s">
        <v>1005</v>
      </c>
      <c r="F340" s="582"/>
      <c r="G340" s="582"/>
      <c r="H340" s="494"/>
      <c r="I340" s="494"/>
      <c r="J340" s="495"/>
      <c r="K340" s="496"/>
      <c r="L340" s="496"/>
      <c r="M340" s="496"/>
      <c r="N340" s="496"/>
      <c r="O340" s="496"/>
      <c r="P340" s="496"/>
      <c r="Q340" s="496">
        <f t="shared" si="387"/>
        <v>0</v>
      </c>
      <c r="R340" s="496">
        <f t="shared" si="387"/>
        <v>0</v>
      </c>
      <c r="S340" s="520">
        <v>3900</v>
      </c>
      <c r="T340" s="520">
        <v>3900</v>
      </c>
      <c r="U340" s="496"/>
      <c r="V340" s="496"/>
      <c r="W340" s="496"/>
      <c r="X340" s="496"/>
      <c r="Y340" s="496"/>
      <c r="Z340" s="496"/>
      <c r="AA340" s="496"/>
      <c r="AB340" s="520"/>
      <c r="AC340" s="520"/>
      <c r="AD340" s="496"/>
      <c r="AE340" s="496"/>
      <c r="AF340" s="659"/>
      <c r="AG340" s="659"/>
      <c r="AH340" s="496">
        <f t="shared" si="359"/>
        <v>0</v>
      </c>
      <c r="AI340" s="496">
        <f t="shared" si="360"/>
        <v>0</v>
      </c>
      <c r="AJ340" s="496"/>
      <c r="AK340" s="496"/>
      <c r="AL340" s="496">
        <f t="shared" si="375"/>
        <v>350</v>
      </c>
      <c r="AM340" s="496">
        <f t="shared" si="376"/>
        <v>350</v>
      </c>
      <c r="AN340" s="496">
        <f t="shared" si="377"/>
        <v>0</v>
      </c>
      <c r="AO340" s="496">
        <f t="shared" si="378"/>
        <v>0</v>
      </c>
      <c r="AP340" s="659">
        <f t="shared" si="388"/>
        <v>350</v>
      </c>
      <c r="AQ340" s="496">
        <v>350</v>
      </c>
      <c r="AR340" s="659"/>
      <c r="AS340" s="659"/>
      <c r="AT340" s="660"/>
      <c r="AU340" s="484">
        <f t="shared" si="363"/>
        <v>0</v>
      </c>
      <c r="AV340" s="484">
        <f t="shared" si="319"/>
        <v>0</v>
      </c>
      <c r="AW340" s="660"/>
      <c r="AX340" s="548"/>
      <c r="BG340" s="488">
        <f t="shared" si="365"/>
        <v>0</v>
      </c>
    </row>
    <row r="341" spans="1:59" s="81" customFormat="1" ht="59.25" customHeight="1">
      <c r="A341" s="478"/>
      <c r="B341" s="661" t="s">
        <v>731</v>
      </c>
      <c r="C341" s="480"/>
      <c r="D341" s="480"/>
      <c r="E341" s="480"/>
      <c r="F341" s="480"/>
      <c r="G341" s="480"/>
      <c r="H341" s="480"/>
      <c r="I341" s="480"/>
      <c r="J341" s="481"/>
      <c r="K341" s="482"/>
      <c r="L341" s="482"/>
      <c r="M341" s="482"/>
      <c r="N341" s="482"/>
      <c r="O341" s="482"/>
      <c r="P341" s="482"/>
      <c r="Q341" s="496">
        <f>M341+X341</f>
        <v>0</v>
      </c>
      <c r="R341" s="496">
        <f>N341+Y341</f>
        <v>0</v>
      </c>
      <c r="S341" s="482"/>
      <c r="T341" s="482"/>
      <c r="U341" s="482"/>
      <c r="V341" s="482"/>
      <c r="W341" s="482"/>
      <c r="X341" s="482"/>
      <c r="Y341" s="482"/>
      <c r="Z341" s="482"/>
      <c r="AA341" s="482"/>
      <c r="AB341" s="482"/>
      <c r="AC341" s="482">
        <v>9010</v>
      </c>
      <c r="AD341" s="482"/>
      <c r="AE341" s="482"/>
      <c r="AF341" s="482"/>
      <c r="AG341" s="482"/>
      <c r="AH341" s="482"/>
      <c r="AI341" s="482"/>
      <c r="AJ341" s="482"/>
      <c r="AK341" s="482"/>
      <c r="AL341" s="482"/>
      <c r="AM341" s="482"/>
      <c r="AN341" s="482"/>
      <c r="AO341" s="482"/>
      <c r="AP341" s="482"/>
      <c r="AQ341" s="482">
        <v>9010</v>
      </c>
      <c r="AR341" s="482"/>
      <c r="AS341" s="482"/>
      <c r="AT341" s="649">
        <f>AQ341-AQ342</f>
        <v>0</v>
      </c>
      <c r="AU341" s="484">
        <f t="shared" si="363"/>
        <v>-9010</v>
      </c>
      <c r="AV341" s="484">
        <v>9010</v>
      </c>
      <c r="AW341" s="576"/>
      <c r="AX341" s="537"/>
      <c r="BG341" s="488">
        <f t="shared" si="365"/>
        <v>-9010</v>
      </c>
    </row>
    <row r="342" spans="1:59" s="81" customFormat="1" ht="59.25" customHeight="1">
      <c r="A342" s="533" t="s">
        <v>618</v>
      </c>
      <c r="B342" s="555" t="s">
        <v>619</v>
      </c>
      <c r="C342" s="480"/>
      <c r="D342" s="480"/>
      <c r="E342" s="480"/>
      <c r="F342" s="480"/>
      <c r="G342" s="480"/>
      <c r="H342" s="540"/>
      <c r="I342" s="480"/>
      <c r="J342" s="481"/>
      <c r="K342" s="482">
        <f>K343+K345</f>
        <v>40570</v>
      </c>
      <c r="L342" s="482">
        <f t="shared" ref="L342:AS342" si="389">L343+L345</f>
        <v>40570</v>
      </c>
      <c r="M342" s="482">
        <f t="shared" si="389"/>
        <v>0</v>
      </c>
      <c r="N342" s="482">
        <f t="shared" si="389"/>
        <v>0</v>
      </c>
      <c r="O342" s="482">
        <f t="shared" si="389"/>
        <v>0</v>
      </c>
      <c r="P342" s="482">
        <f t="shared" si="389"/>
        <v>0</v>
      </c>
      <c r="Q342" s="482">
        <f t="shared" si="389"/>
        <v>347</v>
      </c>
      <c r="R342" s="482">
        <f t="shared" si="389"/>
        <v>347</v>
      </c>
      <c r="S342" s="482">
        <f t="shared" si="389"/>
        <v>25209</v>
      </c>
      <c r="T342" s="482">
        <f t="shared" si="389"/>
        <v>25209</v>
      </c>
      <c r="U342" s="482">
        <f t="shared" si="389"/>
        <v>0</v>
      </c>
      <c r="V342" s="482">
        <f t="shared" si="389"/>
        <v>0</v>
      </c>
      <c r="W342" s="482">
        <f t="shared" si="389"/>
        <v>18616</v>
      </c>
      <c r="X342" s="482">
        <f t="shared" si="389"/>
        <v>347</v>
      </c>
      <c r="Y342" s="482">
        <f t="shared" si="389"/>
        <v>347</v>
      </c>
      <c r="Z342" s="482">
        <f t="shared" si="389"/>
        <v>0</v>
      </c>
      <c r="AA342" s="482">
        <f t="shared" si="389"/>
        <v>0</v>
      </c>
      <c r="AB342" s="482">
        <f t="shared" si="389"/>
        <v>6000</v>
      </c>
      <c r="AC342" s="482">
        <f t="shared" si="389"/>
        <v>6000</v>
      </c>
      <c r="AD342" s="482">
        <f t="shared" si="389"/>
        <v>0</v>
      </c>
      <c r="AE342" s="482">
        <f t="shared" si="389"/>
        <v>0</v>
      </c>
      <c r="AF342" s="482">
        <f t="shared" si="389"/>
        <v>1837.98</v>
      </c>
      <c r="AG342" s="482">
        <f t="shared" si="389"/>
        <v>1837.98</v>
      </c>
      <c r="AH342" s="482">
        <f t="shared" si="389"/>
        <v>6347</v>
      </c>
      <c r="AI342" s="482">
        <f t="shared" si="389"/>
        <v>6347</v>
      </c>
      <c r="AJ342" s="482">
        <f t="shared" si="389"/>
        <v>0</v>
      </c>
      <c r="AK342" s="482">
        <f t="shared" si="389"/>
        <v>0</v>
      </c>
      <c r="AL342" s="482">
        <f t="shared" si="389"/>
        <v>7910</v>
      </c>
      <c r="AM342" s="482">
        <f t="shared" si="389"/>
        <v>7910</v>
      </c>
      <c r="AN342" s="482">
        <f t="shared" si="389"/>
        <v>0</v>
      </c>
      <c r="AO342" s="482">
        <f t="shared" si="389"/>
        <v>0</v>
      </c>
      <c r="AP342" s="482">
        <f t="shared" si="389"/>
        <v>9010</v>
      </c>
      <c r="AQ342" s="482">
        <f t="shared" si="389"/>
        <v>9010</v>
      </c>
      <c r="AR342" s="482">
        <f t="shared" si="389"/>
        <v>0</v>
      </c>
      <c r="AS342" s="482">
        <f t="shared" si="389"/>
        <v>0</v>
      </c>
      <c r="AT342" s="551"/>
      <c r="AU342" s="484">
        <f t="shared" si="363"/>
        <v>0</v>
      </c>
      <c r="AV342" s="484">
        <f t="shared" ref="AV342:AV345" si="390">V342-AA342</f>
        <v>0</v>
      </c>
      <c r="AW342" s="551"/>
      <c r="AX342" s="537"/>
      <c r="BG342" s="488">
        <f t="shared" si="365"/>
        <v>-1100</v>
      </c>
    </row>
    <row r="343" spans="1:59" s="80" customFormat="1" ht="59.25" customHeight="1">
      <c r="A343" s="619" t="s">
        <v>33</v>
      </c>
      <c r="B343" s="557" t="s">
        <v>965</v>
      </c>
      <c r="C343" s="526"/>
      <c r="D343" s="526"/>
      <c r="E343" s="526"/>
      <c r="F343" s="526"/>
      <c r="G343" s="526"/>
      <c r="H343" s="526"/>
      <c r="I343" s="526"/>
      <c r="J343" s="527"/>
      <c r="K343" s="525">
        <f>K344</f>
        <v>13870</v>
      </c>
      <c r="L343" s="525">
        <f t="shared" ref="L343:AS343" si="391">L344</f>
        <v>13870</v>
      </c>
      <c r="M343" s="525">
        <f t="shared" si="391"/>
        <v>0</v>
      </c>
      <c r="N343" s="525">
        <f t="shared" si="391"/>
        <v>0</v>
      </c>
      <c r="O343" s="525">
        <f t="shared" si="391"/>
        <v>0</v>
      </c>
      <c r="P343" s="525">
        <f t="shared" si="391"/>
        <v>0</v>
      </c>
      <c r="Q343" s="525">
        <f t="shared" si="391"/>
        <v>0</v>
      </c>
      <c r="R343" s="525">
        <f t="shared" si="391"/>
        <v>0</v>
      </c>
      <c r="S343" s="525">
        <f t="shared" si="391"/>
        <v>1179</v>
      </c>
      <c r="T343" s="525">
        <f t="shared" si="391"/>
        <v>1179</v>
      </c>
      <c r="U343" s="525">
        <f t="shared" si="391"/>
        <v>0</v>
      </c>
      <c r="V343" s="525">
        <f t="shared" si="391"/>
        <v>0</v>
      </c>
      <c r="W343" s="525">
        <f t="shared" si="391"/>
        <v>12616</v>
      </c>
      <c r="X343" s="525">
        <f t="shared" si="391"/>
        <v>0</v>
      </c>
      <c r="Y343" s="525">
        <f t="shared" si="391"/>
        <v>0</v>
      </c>
      <c r="Z343" s="525">
        <f t="shared" si="391"/>
        <v>0</v>
      </c>
      <c r="AA343" s="525">
        <f t="shared" si="391"/>
        <v>0</v>
      </c>
      <c r="AB343" s="525">
        <f t="shared" si="391"/>
        <v>0</v>
      </c>
      <c r="AC343" s="525">
        <f t="shared" si="391"/>
        <v>0</v>
      </c>
      <c r="AD343" s="525">
        <f t="shared" si="391"/>
        <v>0</v>
      </c>
      <c r="AE343" s="525">
        <f t="shared" si="391"/>
        <v>0</v>
      </c>
      <c r="AF343" s="525">
        <f t="shared" si="391"/>
        <v>0</v>
      </c>
      <c r="AG343" s="525">
        <f t="shared" si="391"/>
        <v>0</v>
      </c>
      <c r="AH343" s="525">
        <f t="shared" si="391"/>
        <v>0</v>
      </c>
      <c r="AI343" s="525">
        <f t="shared" si="391"/>
        <v>0</v>
      </c>
      <c r="AJ343" s="525">
        <f t="shared" si="391"/>
        <v>0</v>
      </c>
      <c r="AK343" s="525">
        <f t="shared" si="391"/>
        <v>0</v>
      </c>
      <c r="AL343" s="525">
        <f t="shared" si="391"/>
        <v>0</v>
      </c>
      <c r="AM343" s="525">
        <f t="shared" si="391"/>
        <v>0</v>
      </c>
      <c r="AN343" s="525">
        <f t="shared" si="391"/>
        <v>0</v>
      </c>
      <c r="AO343" s="525">
        <f t="shared" si="391"/>
        <v>0</v>
      </c>
      <c r="AP343" s="525">
        <f t="shared" si="391"/>
        <v>1100</v>
      </c>
      <c r="AQ343" s="525">
        <f t="shared" si="391"/>
        <v>1100</v>
      </c>
      <c r="AR343" s="525">
        <f t="shared" si="391"/>
        <v>0</v>
      </c>
      <c r="AS343" s="525">
        <f t="shared" si="391"/>
        <v>0</v>
      </c>
      <c r="AT343" s="526"/>
      <c r="AU343" s="489">
        <f t="shared" ref="AU343" si="392">AP343-AQ343</f>
        <v>0</v>
      </c>
      <c r="AV343" s="489">
        <f t="shared" ref="AV343" si="393">V343-AA343</f>
        <v>0</v>
      </c>
      <c r="AW343" s="541"/>
      <c r="AX343" s="542"/>
      <c r="BG343" s="516">
        <f t="shared" ref="BG343" si="394">AL343-AQ343</f>
        <v>-1100</v>
      </c>
    </row>
    <row r="344" spans="1:59" s="82" customFormat="1" ht="59.25" customHeight="1">
      <c r="A344" s="543">
        <v>1</v>
      </c>
      <c r="B344" s="560" t="s">
        <v>966</v>
      </c>
      <c r="C344" s="494" t="s">
        <v>830</v>
      </c>
      <c r="D344" s="494"/>
      <c r="E344" s="494" t="s">
        <v>968</v>
      </c>
      <c r="F344" s="494"/>
      <c r="G344" s="494"/>
      <c r="H344" s="494"/>
      <c r="I344" s="494"/>
      <c r="J344" s="623" t="s">
        <v>967</v>
      </c>
      <c r="K344" s="546">
        <v>13870</v>
      </c>
      <c r="L344" s="546">
        <v>13870</v>
      </c>
      <c r="M344" s="496"/>
      <c r="N344" s="496"/>
      <c r="O344" s="496"/>
      <c r="P344" s="496"/>
      <c r="Q344" s="496"/>
      <c r="R344" s="496"/>
      <c r="S344" s="496">
        <f>T344</f>
        <v>1179</v>
      </c>
      <c r="T344" s="496">
        <v>1179</v>
      </c>
      <c r="U344" s="496"/>
      <c r="V344" s="496"/>
      <c r="W344" s="496">
        <v>12616</v>
      </c>
      <c r="X344" s="496"/>
      <c r="Y344" s="496"/>
      <c r="Z344" s="496"/>
      <c r="AA344" s="496"/>
      <c r="AB344" s="520"/>
      <c r="AC344" s="520"/>
      <c r="AD344" s="496"/>
      <c r="AE344" s="496"/>
      <c r="AF344" s="520"/>
      <c r="AG344" s="520"/>
      <c r="AH344" s="482"/>
      <c r="AI344" s="482"/>
      <c r="AJ344" s="482"/>
      <c r="AK344" s="482"/>
      <c r="AL344" s="482"/>
      <c r="AM344" s="482"/>
      <c r="AN344" s="482"/>
      <c r="AO344" s="482"/>
      <c r="AP344" s="496">
        <f>AQ344</f>
        <v>1100</v>
      </c>
      <c r="AQ344" s="496">
        <v>1100</v>
      </c>
      <c r="AR344" s="496"/>
      <c r="AS344" s="496"/>
      <c r="AT344" s="536" t="s">
        <v>978</v>
      </c>
      <c r="AU344" s="484"/>
      <c r="AV344" s="484"/>
      <c r="AW344" s="536"/>
      <c r="AX344" s="548"/>
      <c r="BG344" s="488"/>
    </row>
    <row r="345" spans="1:59" s="80" customFormat="1" ht="59.25" customHeight="1">
      <c r="A345" s="556" t="s">
        <v>46</v>
      </c>
      <c r="B345" s="557" t="s">
        <v>288</v>
      </c>
      <c r="C345" s="526"/>
      <c r="D345" s="526"/>
      <c r="E345" s="526"/>
      <c r="F345" s="526"/>
      <c r="G345" s="526"/>
      <c r="H345" s="526"/>
      <c r="I345" s="526"/>
      <c r="J345" s="527"/>
      <c r="K345" s="525">
        <f>K346</f>
        <v>26700</v>
      </c>
      <c r="L345" s="525">
        <f t="shared" ref="L345:AS345" si="395">L346</f>
        <v>26700</v>
      </c>
      <c r="M345" s="525">
        <f t="shared" si="395"/>
        <v>0</v>
      </c>
      <c r="N345" s="525">
        <f t="shared" si="395"/>
        <v>0</v>
      </c>
      <c r="O345" s="525">
        <f t="shared" si="395"/>
        <v>0</v>
      </c>
      <c r="P345" s="525">
        <f t="shared" si="395"/>
        <v>0</v>
      </c>
      <c r="Q345" s="525">
        <f t="shared" si="395"/>
        <v>347</v>
      </c>
      <c r="R345" s="525">
        <f t="shared" si="395"/>
        <v>347</v>
      </c>
      <c r="S345" s="525">
        <f t="shared" si="395"/>
        <v>24030</v>
      </c>
      <c r="T345" s="525">
        <f t="shared" si="395"/>
        <v>24030</v>
      </c>
      <c r="U345" s="525">
        <f t="shared" si="395"/>
        <v>0</v>
      </c>
      <c r="V345" s="525">
        <f t="shared" si="395"/>
        <v>0</v>
      </c>
      <c r="W345" s="525">
        <f t="shared" si="395"/>
        <v>6000</v>
      </c>
      <c r="X345" s="525">
        <f t="shared" si="395"/>
        <v>347</v>
      </c>
      <c r="Y345" s="525">
        <f t="shared" si="395"/>
        <v>347</v>
      </c>
      <c r="Z345" s="525">
        <f t="shared" si="395"/>
        <v>0</v>
      </c>
      <c r="AA345" s="525">
        <f t="shared" si="395"/>
        <v>0</v>
      </c>
      <c r="AB345" s="525">
        <f t="shared" si="395"/>
        <v>6000</v>
      </c>
      <c r="AC345" s="525">
        <f t="shared" si="395"/>
        <v>6000</v>
      </c>
      <c r="AD345" s="525">
        <f t="shared" si="395"/>
        <v>0</v>
      </c>
      <c r="AE345" s="525">
        <f t="shared" si="395"/>
        <v>0</v>
      </c>
      <c r="AF345" s="525">
        <f t="shared" si="395"/>
        <v>1837.98</v>
      </c>
      <c r="AG345" s="525">
        <f t="shared" si="395"/>
        <v>1837.98</v>
      </c>
      <c r="AH345" s="525">
        <f t="shared" si="395"/>
        <v>6347</v>
      </c>
      <c r="AI345" s="525">
        <f t="shared" si="395"/>
        <v>6347</v>
      </c>
      <c r="AJ345" s="525"/>
      <c r="AK345" s="525"/>
      <c r="AL345" s="525">
        <f t="shared" si="395"/>
        <v>7910</v>
      </c>
      <c r="AM345" s="525">
        <f t="shared" si="395"/>
        <v>7910</v>
      </c>
      <c r="AN345" s="525">
        <f t="shared" si="395"/>
        <v>0</v>
      </c>
      <c r="AO345" s="525">
        <f t="shared" si="395"/>
        <v>0</v>
      </c>
      <c r="AP345" s="525">
        <f t="shared" si="395"/>
        <v>7910</v>
      </c>
      <c r="AQ345" s="525">
        <f t="shared" si="395"/>
        <v>7910</v>
      </c>
      <c r="AR345" s="525">
        <f t="shared" si="395"/>
        <v>0</v>
      </c>
      <c r="AS345" s="525">
        <f t="shared" si="395"/>
        <v>0</v>
      </c>
      <c r="AT345" s="526"/>
      <c r="AU345" s="501">
        <f t="shared" si="363"/>
        <v>0</v>
      </c>
      <c r="AV345" s="501">
        <f t="shared" si="390"/>
        <v>0</v>
      </c>
      <c r="AW345" s="541"/>
      <c r="AX345" s="542"/>
      <c r="BG345" s="511">
        <f t="shared" si="365"/>
        <v>0</v>
      </c>
    </row>
    <row r="346" spans="1:59" s="80" customFormat="1" ht="59.25" customHeight="1">
      <c r="A346" s="556" t="s">
        <v>35</v>
      </c>
      <c r="B346" s="557" t="s">
        <v>45</v>
      </c>
      <c r="C346" s="526"/>
      <c r="D346" s="526"/>
      <c r="E346" s="526"/>
      <c r="F346" s="526"/>
      <c r="G346" s="526"/>
      <c r="H346" s="526"/>
      <c r="I346" s="526"/>
      <c r="J346" s="527"/>
      <c r="K346" s="525">
        <f t="shared" ref="K346:AA346" si="396">K347</f>
        <v>26700</v>
      </c>
      <c r="L346" s="525">
        <f t="shared" si="396"/>
        <v>26700</v>
      </c>
      <c r="M346" s="525">
        <f t="shared" si="396"/>
        <v>0</v>
      </c>
      <c r="N346" s="525">
        <f t="shared" si="396"/>
        <v>0</v>
      </c>
      <c r="O346" s="525">
        <f t="shared" si="396"/>
        <v>0</v>
      </c>
      <c r="P346" s="525">
        <f t="shared" si="396"/>
        <v>0</v>
      </c>
      <c r="Q346" s="525">
        <f t="shared" si="396"/>
        <v>347</v>
      </c>
      <c r="R346" s="525">
        <f t="shared" si="396"/>
        <v>347</v>
      </c>
      <c r="S346" s="525">
        <f t="shared" si="396"/>
        <v>24030</v>
      </c>
      <c r="T346" s="525">
        <f t="shared" si="396"/>
        <v>24030</v>
      </c>
      <c r="U346" s="525">
        <f t="shared" si="396"/>
        <v>0</v>
      </c>
      <c r="V346" s="525">
        <f t="shared" si="396"/>
        <v>0</v>
      </c>
      <c r="W346" s="525">
        <f t="shared" si="396"/>
        <v>6000</v>
      </c>
      <c r="X346" s="525">
        <f t="shared" si="396"/>
        <v>347</v>
      </c>
      <c r="Y346" s="525">
        <f t="shared" si="396"/>
        <v>347</v>
      </c>
      <c r="Z346" s="525">
        <f t="shared" si="396"/>
        <v>0</v>
      </c>
      <c r="AA346" s="525">
        <f t="shared" si="396"/>
        <v>0</v>
      </c>
      <c r="AB346" s="525">
        <f>AB347</f>
        <v>6000</v>
      </c>
      <c r="AC346" s="525">
        <f>AC347</f>
        <v>6000</v>
      </c>
      <c r="AD346" s="525"/>
      <c r="AE346" s="525"/>
      <c r="AF346" s="525">
        <f t="shared" ref="AF346:AS346" si="397">AF347</f>
        <v>1837.98</v>
      </c>
      <c r="AG346" s="525">
        <f t="shared" si="397"/>
        <v>1837.98</v>
      </c>
      <c r="AH346" s="482">
        <f t="shared" si="359"/>
        <v>6347</v>
      </c>
      <c r="AI346" s="482">
        <f t="shared" si="360"/>
        <v>6347</v>
      </c>
      <c r="AJ346" s="482"/>
      <c r="AK346" s="482"/>
      <c r="AL346" s="482">
        <f t="shared" si="375"/>
        <v>7910</v>
      </c>
      <c r="AM346" s="482">
        <f t="shared" si="376"/>
        <v>7910</v>
      </c>
      <c r="AN346" s="482">
        <f t="shared" si="377"/>
        <v>0</v>
      </c>
      <c r="AO346" s="482">
        <f t="shared" si="378"/>
        <v>0</v>
      </c>
      <c r="AP346" s="525">
        <f t="shared" si="397"/>
        <v>7910</v>
      </c>
      <c r="AQ346" s="525">
        <f t="shared" si="397"/>
        <v>7910</v>
      </c>
      <c r="AR346" s="525">
        <f t="shared" si="397"/>
        <v>0</v>
      </c>
      <c r="AS346" s="525">
        <f t="shared" si="397"/>
        <v>0</v>
      </c>
      <c r="AT346" s="526"/>
      <c r="AU346" s="484">
        <f t="shared" ref="AU346:AU393" si="398">AP346-AQ346</f>
        <v>0</v>
      </c>
      <c r="AV346" s="501"/>
      <c r="AW346" s="541"/>
      <c r="AX346" s="542"/>
      <c r="BG346" s="488">
        <f t="shared" si="365"/>
        <v>0</v>
      </c>
    </row>
    <row r="347" spans="1:59" s="510" customFormat="1" ht="59.25" customHeight="1">
      <c r="A347" s="543">
        <v>1</v>
      </c>
      <c r="B347" s="544" t="s">
        <v>621</v>
      </c>
      <c r="C347" s="494" t="s">
        <v>595</v>
      </c>
      <c r="D347" s="494"/>
      <c r="E347" s="494"/>
      <c r="F347" s="494"/>
      <c r="G347" s="494"/>
      <c r="H347" s="494" t="s">
        <v>296</v>
      </c>
      <c r="I347" s="503"/>
      <c r="J347" s="495" t="s">
        <v>622</v>
      </c>
      <c r="K347" s="496">
        <v>26700</v>
      </c>
      <c r="L347" s="496">
        <v>26700</v>
      </c>
      <c r="M347" s="496"/>
      <c r="N347" s="496"/>
      <c r="O347" s="496"/>
      <c r="P347" s="496"/>
      <c r="Q347" s="496">
        <f>M347+X347</f>
        <v>347</v>
      </c>
      <c r="R347" s="496">
        <f>N347+Y347</f>
        <v>347</v>
      </c>
      <c r="S347" s="496">
        <v>24030</v>
      </c>
      <c r="T347" s="496">
        <v>24030</v>
      </c>
      <c r="U347" s="496">
        <v>0</v>
      </c>
      <c r="V347" s="496"/>
      <c r="W347" s="496">
        <v>6000</v>
      </c>
      <c r="X347" s="496">
        <v>347</v>
      </c>
      <c r="Y347" s="496">
        <v>347</v>
      </c>
      <c r="Z347" s="496"/>
      <c r="AA347" s="496"/>
      <c r="AB347" s="496">
        <v>6000</v>
      </c>
      <c r="AC347" s="496">
        <v>6000</v>
      </c>
      <c r="AD347" s="496"/>
      <c r="AE347" s="496"/>
      <c r="AF347" s="547">
        <v>1837.98</v>
      </c>
      <c r="AG347" s="547">
        <v>1837.98</v>
      </c>
      <c r="AH347" s="496">
        <f t="shared" si="359"/>
        <v>6347</v>
      </c>
      <c r="AI347" s="496">
        <f t="shared" si="360"/>
        <v>6347</v>
      </c>
      <c r="AJ347" s="496"/>
      <c r="AK347" s="496"/>
      <c r="AL347" s="496">
        <f t="shared" si="375"/>
        <v>7910</v>
      </c>
      <c r="AM347" s="496">
        <f t="shared" si="376"/>
        <v>7910</v>
      </c>
      <c r="AN347" s="496">
        <f t="shared" si="377"/>
        <v>0</v>
      </c>
      <c r="AO347" s="496">
        <f t="shared" si="378"/>
        <v>0</v>
      </c>
      <c r="AP347" s="496">
        <f>AQ347</f>
        <v>7910</v>
      </c>
      <c r="AQ347" s="496">
        <v>7910</v>
      </c>
      <c r="AR347" s="496"/>
      <c r="AS347" s="496"/>
      <c r="AT347" s="494"/>
      <c r="AU347" s="484">
        <f t="shared" si="398"/>
        <v>0</v>
      </c>
      <c r="AV347" s="484">
        <f t="shared" ref="AV347:AV351" si="399">V347-AA347</f>
        <v>0</v>
      </c>
      <c r="AW347" s="562"/>
      <c r="AX347" s="572"/>
      <c r="BG347" s="488">
        <f t="shared" si="365"/>
        <v>0</v>
      </c>
    </row>
    <row r="348" spans="1:59" s="81" customFormat="1" ht="59.25" customHeight="1">
      <c r="A348" s="533"/>
      <c r="B348" s="534" t="s">
        <v>331</v>
      </c>
      <c r="C348" s="550"/>
      <c r="D348" s="550"/>
      <c r="E348" s="550"/>
      <c r="F348" s="550"/>
      <c r="G348" s="550"/>
      <c r="H348" s="480"/>
      <c r="I348" s="480"/>
      <c r="J348" s="481"/>
      <c r="K348" s="482"/>
      <c r="L348" s="482"/>
      <c r="M348" s="482"/>
      <c r="N348" s="482"/>
      <c r="O348" s="482"/>
      <c r="P348" s="482"/>
      <c r="Q348" s="482"/>
      <c r="R348" s="482"/>
      <c r="S348" s="482"/>
      <c r="T348" s="482"/>
      <c r="U348" s="482"/>
      <c r="V348" s="482"/>
      <c r="W348" s="482"/>
      <c r="X348" s="482"/>
      <c r="Y348" s="482"/>
      <c r="Z348" s="482"/>
      <c r="AA348" s="482"/>
      <c r="AB348" s="482"/>
      <c r="AC348" s="482"/>
      <c r="AD348" s="482"/>
      <c r="AE348" s="482"/>
      <c r="AF348" s="482"/>
      <c r="AG348" s="482"/>
      <c r="AH348" s="482"/>
      <c r="AI348" s="482"/>
      <c r="AJ348" s="482"/>
      <c r="AK348" s="482"/>
      <c r="AL348" s="482"/>
      <c r="AM348" s="482"/>
      <c r="AN348" s="482"/>
      <c r="AO348" s="482"/>
      <c r="AP348" s="482"/>
      <c r="AQ348" s="482">
        <v>14205</v>
      </c>
      <c r="AR348" s="482">
        <f>AQ348-AQ349</f>
        <v>0</v>
      </c>
      <c r="AS348" s="482"/>
      <c r="AT348" s="480"/>
      <c r="AU348" s="484">
        <f t="shared" si="398"/>
        <v>-14205</v>
      </c>
      <c r="AV348" s="489">
        <f t="shared" si="399"/>
        <v>0</v>
      </c>
      <c r="AW348" s="576"/>
      <c r="AX348" s="537"/>
      <c r="BG348" s="488">
        <f t="shared" ref="BG348:BG393" si="400">AL348-AQ348</f>
        <v>-14205</v>
      </c>
    </row>
    <row r="349" spans="1:59" s="670" customFormat="1" ht="59.25" customHeight="1">
      <c r="A349" s="662" t="s">
        <v>623</v>
      </c>
      <c r="B349" s="663" t="s">
        <v>624</v>
      </c>
      <c r="C349" s="664"/>
      <c r="D349" s="664"/>
      <c r="E349" s="664"/>
      <c r="F349" s="664"/>
      <c r="G349" s="664"/>
      <c r="H349" s="665" t="str">
        <f>H350</f>
        <v>*</v>
      </c>
      <c r="I349" s="664"/>
      <c r="J349" s="666"/>
      <c r="K349" s="667">
        <f t="shared" ref="K349:V349" si="401">K352+K358+K362</f>
        <v>42300</v>
      </c>
      <c r="L349" s="667">
        <f t="shared" si="401"/>
        <v>42300</v>
      </c>
      <c r="M349" s="667">
        <f t="shared" si="401"/>
        <v>0</v>
      </c>
      <c r="N349" s="667">
        <f t="shared" si="401"/>
        <v>0</v>
      </c>
      <c r="O349" s="667">
        <f t="shared" si="401"/>
        <v>0</v>
      </c>
      <c r="P349" s="667">
        <f t="shared" si="401"/>
        <v>0</v>
      </c>
      <c r="Q349" s="667">
        <f t="shared" si="401"/>
        <v>10903</v>
      </c>
      <c r="R349" s="667">
        <f t="shared" si="401"/>
        <v>10903</v>
      </c>
      <c r="S349" s="667">
        <f t="shared" si="401"/>
        <v>82271</v>
      </c>
      <c r="T349" s="667">
        <f t="shared" si="401"/>
        <v>82271</v>
      </c>
      <c r="U349" s="667">
        <f t="shared" si="401"/>
        <v>0</v>
      </c>
      <c r="V349" s="667">
        <f t="shared" si="401"/>
        <v>0</v>
      </c>
      <c r="W349" s="667">
        <f t="shared" ref="W349" si="402">W352+W358+W362</f>
        <v>21376</v>
      </c>
      <c r="X349" s="667">
        <f t="shared" ref="X349:AI349" si="403">X352+X358+X362</f>
        <v>10903</v>
      </c>
      <c r="Y349" s="667">
        <f t="shared" si="403"/>
        <v>10903</v>
      </c>
      <c r="Z349" s="667">
        <f t="shared" si="403"/>
        <v>0</v>
      </c>
      <c r="AA349" s="667">
        <f t="shared" si="403"/>
        <v>0</v>
      </c>
      <c r="AB349" s="667">
        <f t="shared" si="403"/>
        <v>10805</v>
      </c>
      <c r="AC349" s="667">
        <f t="shared" si="403"/>
        <v>10805</v>
      </c>
      <c r="AD349" s="667">
        <f t="shared" si="403"/>
        <v>0</v>
      </c>
      <c r="AE349" s="667">
        <f t="shared" si="403"/>
        <v>0</v>
      </c>
      <c r="AF349" s="667">
        <f t="shared" si="403"/>
        <v>10005.288</v>
      </c>
      <c r="AG349" s="667">
        <f t="shared" si="403"/>
        <v>12305.892</v>
      </c>
      <c r="AH349" s="667">
        <f t="shared" si="403"/>
        <v>21376</v>
      </c>
      <c r="AI349" s="667">
        <f t="shared" si="403"/>
        <v>21376</v>
      </c>
      <c r="AJ349" s="667"/>
      <c r="AK349" s="667"/>
      <c r="AL349" s="667">
        <f t="shared" ref="AL349:AS349" si="404">AL352+AL358+AL362</f>
        <v>14623</v>
      </c>
      <c r="AM349" s="667">
        <f t="shared" si="404"/>
        <v>14623</v>
      </c>
      <c r="AN349" s="667">
        <f t="shared" si="404"/>
        <v>0</v>
      </c>
      <c r="AO349" s="667">
        <f t="shared" si="404"/>
        <v>0</v>
      </c>
      <c r="AP349" s="667">
        <f t="shared" si="404"/>
        <v>14205</v>
      </c>
      <c r="AQ349" s="667">
        <f t="shared" si="404"/>
        <v>14205</v>
      </c>
      <c r="AR349" s="667">
        <f t="shared" si="404"/>
        <v>0</v>
      </c>
      <c r="AS349" s="667">
        <f t="shared" si="404"/>
        <v>0</v>
      </c>
      <c r="AT349" s="668"/>
      <c r="AU349" s="591">
        <f t="shared" si="398"/>
        <v>0</v>
      </c>
      <c r="AV349" s="591">
        <f t="shared" si="399"/>
        <v>0</v>
      </c>
      <c r="AW349" s="668"/>
      <c r="AX349" s="669"/>
      <c r="BG349" s="594">
        <f t="shared" si="400"/>
        <v>418</v>
      </c>
    </row>
    <row r="350" spans="1:59" s="677" customFormat="1" ht="59.25" customHeight="1">
      <c r="A350" s="671" t="s">
        <v>305</v>
      </c>
      <c r="B350" s="672" t="s">
        <v>327</v>
      </c>
      <c r="C350" s="673"/>
      <c r="D350" s="673"/>
      <c r="E350" s="673"/>
      <c r="F350" s="673"/>
      <c r="G350" s="673"/>
      <c r="H350" s="673" t="str">
        <f>A382</f>
        <v>*</v>
      </c>
      <c r="I350" s="673"/>
      <c r="J350" s="674"/>
      <c r="K350" s="667"/>
      <c r="L350" s="667"/>
      <c r="M350" s="667"/>
      <c r="N350" s="667"/>
      <c r="O350" s="667"/>
      <c r="P350" s="667"/>
      <c r="Q350" s="667"/>
      <c r="R350" s="667"/>
      <c r="S350" s="667"/>
      <c r="T350" s="667"/>
      <c r="U350" s="667"/>
      <c r="V350" s="667"/>
      <c r="W350" s="667"/>
      <c r="X350" s="667"/>
      <c r="Y350" s="667"/>
      <c r="Z350" s="667"/>
      <c r="AA350" s="667"/>
      <c r="AB350" s="667"/>
      <c r="AC350" s="667"/>
      <c r="AD350" s="667"/>
      <c r="AE350" s="667"/>
      <c r="AF350" s="667"/>
      <c r="AG350" s="667"/>
      <c r="AH350" s="667"/>
      <c r="AI350" s="667"/>
      <c r="AJ350" s="667"/>
      <c r="AK350" s="667"/>
      <c r="AL350" s="667"/>
      <c r="AM350" s="667"/>
      <c r="AN350" s="667"/>
      <c r="AO350" s="667"/>
      <c r="AP350" s="667"/>
      <c r="AQ350" s="667"/>
      <c r="AR350" s="667"/>
      <c r="AS350" s="667"/>
      <c r="AT350" s="673" t="s">
        <v>315</v>
      </c>
      <c r="AU350" s="591">
        <f t="shared" si="398"/>
        <v>0</v>
      </c>
      <c r="AV350" s="591">
        <f t="shared" si="399"/>
        <v>0</v>
      </c>
      <c r="AW350" s="675"/>
      <c r="AX350" s="676"/>
      <c r="BG350" s="594">
        <f t="shared" si="400"/>
        <v>0</v>
      </c>
    </row>
    <row r="351" spans="1:59" s="593" customFormat="1" ht="59.25" customHeight="1">
      <c r="A351" s="678">
        <v>1</v>
      </c>
      <c r="B351" s="679" t="s">
        <v>620</v>
      </c>
      <c r="C351" s="591"/>
      <c r="D351" s="591"/>
      <c r="E351" s="591"/>
      <c r="F351" s="591"/>
      <c r="G351" s="591"/>
      <c r="H351" s="591"/>
      <c r="I351" s="591"/>
      <c r="J351" s="680"/>
      <c r="K351" s="588"/>
      <c r="L351" s="588"/>
      <c r="M351" s="588"/>
      <c r="N351" s="588"/>
      <c r="O351" s="588"/>
      <c r="P351" s="588"/>
      <c r="Q351" s="588">
        <f>M351+X351</f>
        <v>0</v>
      </c>
      <c r="R351" s="588">
        <f>N351+Y351</f>
        <v>0</v>
      </c>
      <c r="S351" s="588">
        <v>3536</v>
      </c>
      <c r="T351" s="588">
        <v>3536</v>
      </c>
      <c r="U351" s="588"/>
      <c r="V351" s="588"/>
      <c r="W351" s="588"/>
      <c r="X351" s="588"/>
      <c r="Y351" s="588"/>
      <c r="Z351" s="588"/>
      <c r="AA351" s="588"/>
      <c r="AB351" s="588"/>
      <c r="AC351" s="588"/>
      <c r="AD351" s="588"/>
      <c r="AE351" s="588"/>
      <c r="AF351" s="588"/>
      <c r="AG351" s="588"/>
      <c r="AH351" s="667">
        <f t="shared" ref="AH351:AI357" si="405">X351+AB351</f>
        <v>0</v>
      </c>
      <c r="AI351" s="667">
        <f t="shared" si="405"/>
        <v>0</v>
      </c>
      <c r="AJ351" s="667"/>
      <c r="AK351" s="667"/>
      <c r="AL351" s="667">
        <f t="shared" ref="AL351:AO357" si="406">AP351</f>
        <v>0</v>
      </c>
      <c r="AM351" s="667">
        <f t="shared" si="406"/>
        <v>0</v>
      </c>
      <c r="AN351" s="667">
        <f t="shared" si="406"/>
        <v>0</v>
      </c>
      <c r="AO351" s="667">
        <f t="shared" si="406"/>
        <v>0</v>
      </c>
      <c r="AP351" s="588"/>
      <c r="AQ351" s="588"/>
      <c r="AR351" s="588"/>
      <c r="AS351" s="588"/>
      <c r="AT351" s="586"/>
      <c r="AU351" s="591">
        <f t="shared" si="398"/>
        <v>0</v>
      </c>
      <c r="AV351" s="591">
        <f t="shared" si="399"/>
        <v>0</v>
      </c>
      <c r="AW351" s="681"/>
      <c r="AX351" s="592"/>
      <c r="BG351" s="594">
        <f t="shared" si="400"/>
        <v>0</v>
      </c>
    </row>
    <row r="352" spans="1:59" s="677" customFormat="1" ht="59.25" customHeight="1">
      <c r="A352" s="682" t="s">
        <v>33</v>
      </c>
      <c r="B352" s="672" t="s">
        <v>287</v>
      </c>
      <c r="C352" s="683"/>
      <c r="D352" s="683"/>
      <c r="E352" s="683"/>
      <c r="F352" s="683"/>
      <c r="G352" s="683"/>
      <c r="H352" s="683"/>
      <c r="I352" s="683"/>
      <c r="J352" s="684"/>
      <c r="K352" s="685">
        <f>K353</f>
        <v>30500</v>
      </c>
      <c r="L352" s="685">
        <f t="shared" ref="L352:AS352" si="407">L353</f>
        <v>30500</v>
      </c>
      <c r="M352" s="685">
        <f t="shared" si="407"/>
        <v>0</v>
      </c>
      <c r="N352" s="685">
        <f t="shared" si="407"/>
        <v>0</v>
      </c>
      <c r="O352" s="685">
        <f t="shared" si="407"/>
        <v>0</v>
      </c>
      <c r="P352" s="685">
        <f t="shared" si="407"/>
        <v>0</v>
      </c>
      <c r="Q352" s="685">
        <f t="shared" si="407"/>
        <v>10571</v>
      </c>
      <c r="R352" s="685">
        <f t="shared" si="407"/>
        <v>10571</v>
      </c>
      <c r="S352" s="685">
        <f t="shared" si="407"/>
        <v>27450</v>
      </c>
      <c r="T352" s="685">
        <f t="shared" si="407"/>
        <v>27450</v>
      </c>
      <c r="U352" s="685">
        <f t="shared" si="407"/>
        <v>0</v>
      </c>
      <c r="V352" s="685">
        <f t="shared" si="407"/>
        <v>0</v>
      </c>
      <c r="W352" s="685">
        <f t="shared" si="407"/>
        <v>21376</v>
      </c>
      <c r="X352" s="685">
        <f t="shared" si="407"/>
        <v>10571</v>
      </c>
      <c r="Y352" s="685">
        <f t="shared" si="407"/>
        <v>10571</v>
      </c>
      <c r="Z352" s="685">
        <f t="shared" si="407"/>
        <v>0</v>
      </c>
      <c r="AA352" s="685">
        <f t="shared" si="407"/>
        <v>0</v>
      </c>
      <c r="AB352" s="685">
        <f t="shared" si="407"/>
        <v>10805</v>
      </c>
      <c r="AC352" s="685">
        <f t="shared" si="407"/>
        <v>10805</v>
      </c>
      <c r="AD352" s="685">
        <f t="shared" si="407"/>
        <v>0</v>
      </c>
      <c r="AE352" s="685">
        <f t="shared" si="407"/>
        <v>0</v>
      </c>
      <c r="AF352" s="685">
        <f t="shared" si="407"/>
        <v>10005.288</v>
      </c>
      <c r="AG352" s="685">
        <f t="shared" si="407"/>
        <v>12305.892</v>
      </c>
      <c r="AH352" s="685">
        <f t="shared" si="407"/>
        <v>21376</v>
      </c>
      <c r="AI352" s="685">
        <f t="shared" si="407"/>
        <v>21376</v>
      </c>
      <c r="AJ352" s="685"/>
      <c r="AK352" s="685"/>
      <c r="AL352" s="685">
        <f t="shared" si="407"/>
        <v>9124</v>
      </c>
      <c r="AM352" s="685">
        <f t="shared" si="407"/>
        <v>9124</v>
      </c>
      <c r="AN352" s="685">
        <f t="shared" si="407"/>
        <v>0</v>
      </c>
      <c r="AO352" s="685">
        <f t="shared" si="407"/>
        <v>0</v>
      </c>
      <c r="AP352" s="685">
        <f t="shared" si="407"/>
        <v>9124</v>
      </c>
      <c r="AQ352" s="685">
        <f t="shared" si="407"/>
        <v>9124</v>
      </c>
      <c r="AR352" s="685">
        <f t="shared" si="407"/>
        <v>0</v>
      </c>
      <c r="AS352" s="685">
        <f t="shared" si="407"/>
        <v>0</v>
      </c>
      <c r="AT352" s="673"/>
      <c r="AU352" s="591">
        <f t="shared" si="398"/>
        <v>0</v>
      </c>
      <c r="AV352" s="683"/>
      <c r="AW352" s="675"/>
      <c r="AX352" s="676"/>
      <c r="BG352" s="594">
        <f t="shared" si="400"/>
        <v>0</v>
      </c>
    </row>
    <row r="353" spans="1:59" s="677" customFormat="1" ht="59.25" customHeight="1">
      <c r="A353" s="686" t="s">
        <v>35</v>
      </c>
      <c r="B353" s="687" t="s">
        <v>45</v>
      </c>
      <c r="C353" s="683"/>
      <c r="D353" s="683"/>
      <c r="E353" s="683"/>
      <c r="F353" s="683"/>
      <c r="G353" s="683"/>
      <c r="H353" s="683"/>
      <c r="I353" s="683"/>
      <c r="J353" s="684"/>
      <c r="K353" s="685">
        <f>SUM(K354:K356)</f>
        <v>30500</v>
      </c>
      <c r="L353" s="685">
        <f t="shared" ref="L353:AS353" si="408">SUM(L354:L356)</f>
        <v>30500</v>
      </c>
      <c r="M353" s="685">
        <f t="shared" si="408"/>
        <v>0</v>
      </c>
      <c r="N353" s="685">
        <f t="shared" si="408"/>
        <v>0</v>
      </c>
      <c r="O353" s="685">
        <f t="shared" si="408"/>
        <v>0</v>
      </c>
      <c r="P353" s="685">
        <f t="shared" si="408"/>
        <v>0</v>
      </c>
      <c r="Q353" s="685">
        <f t="shared" si="408"/>
        <v>10571</v>
      </c>
      <c r="R353" s="685">
        <f t="shared" si="408"/>
        <v>10571</v>
      </c>
      <c r="S353" s="685">
        <f t="shared" si="408"/>
        <v>27450</v>
      </c>
      <c r="T353" s="685">
        <f t="shared" si="408"/>
        <v>27450</v>
      </c>
      <c r="U353" s="685">
        <f t="shared" si="408"/>
        <v>0</v>
      </c>
      <c r="V353" s="685">
        <f t="shared" si="408"/>
        <v>0</v>
      </c>
      <c r="W353" s="685">
        <f t="shared" ref="W353" si="409">SUM(W354:W356)</f>
        <v>21376</v>
      </c>
      <c r="X353" s="685">
        <f t="shared" si="408"/>
        <v>10571</v>
      </c>
      <c r="Y353" s="685">
        <f t="shared" si="408"/>
        <v>10571</v>
      </c>
      <c r="Z353" s="685">
        <f t="shared" si="408"/>
        <v>0</v>
      </c>
      <c r="AA353" s="685">
        <f t="shared" si="408"/>
        <v>0</v>
      </c>
      <c r="AB353" s="685">
        <f t="shared" si="408"/>
        <v>10805</v>
      </c>
      <c r="AC353" s="685">
        <f t="shared" si="408"/>
        <v>10805</v>
      </c>
      <c r="AD353" s="685">
        <f t="shared" si="408"/>
        <v>0</v>
      </c>
      <c r="AE353" s="685">
        <f t="shared" si="408"/>
        <v>0</v>
      </c>
      <c r="AF353" s="685">
        <f t="shared" si="408"/>
        <v>10005.288</v>
      </c>
      <c r="AG353" s="685">
        <f t="shared" si="408"/>
        <v>12305.892</v>
      </c>
      <c r="AH353" s="685">
        <f t="shared" si="408"/>
        <v>21376</v>
      </c>
      <c r="AI353" s="685">
        <f t="shared" si="408"/>
        <v>21376</v>
      </c>
      <c r="AJ353" s="685"/>
      <c r="AK353" s="685"/>
      <c r="AL353" s="685">
        <f t="shared" si="408"/>
        <v>9124</v>
      </c>
      <c r="AM353" s="685">
        <f t="shared" si="408"/>
        <v>9124</v>
      </c>
      <c r="AN353" s="685">
        <f t="shared" si="408"/>
        <v>0</v>
      </c>
      <c r="AO353" s="685">
        <f t="shared" si="408"/>
        <v>0</v>
      </c>
      <c r="AP353" s="685">
        <f t="shared" si="408"/>
        <v>9124</v>
      </c>
      <c r="AQ353" s="685">
        <f>SUM(AQ354:AQ356)</f>
        <v>9124</v>
      </c>
      <c r="AR353" s="685">
        <f t="shared" si="408"/>
        <v>0</v>
      </c>
      <c r="AS353" s="685">
        <f t="shared" si="408"/>
        <v>0</v>
      </c>
      <c r="AT353" s="673"/>
      <c r="AU353" s="591">
        <f t="shared" si="398"/>
        <v>0</v>
      </c>
      <c r="AV353" s="683"/>
      <c r="AW353" s="675"/>
      <c r="AX353" s="676"/>
      <c r="BG353" s="594">
        <f t="shared" si="400"/>
        <v>0</v>
      </c>
    </row>
    <row r="354" spans="1:59" s="593" customFormat="1" ht="59.25" customHeight="1">
      <c r="A354" s="688">
        <v>1</v>
      </c>
      <c r="B354" s="585" t="s">
        <v>625</v>
      </c>
      <c r="C354" s="678" t="s">
        <v>626</v>
      </c>
      <c r="D354" s="678"/>
      <c r="E354" s="678" t="s">
        <v>1006</v>
      </c>
      <c r="F354" s="678"/>
      <c r="G354" s="678"/>
      <c r="H354" s="591"/>
      <c r="I354" s="586" t="s">
        <v>627</v>
      </c>
      <c r="J354" s="680" t="s">
        <v>628</v>
      </c>
      <c r="K354" s="588">
        <v>4500</v>
      </c>
      <c r="L354" s="588">
        <v>4500</v>
      </c>
      <c r="M354" s="588"/>
      <c r="N354" s="588"/>
      <c r="O354" s="588"/>
      <c r="P354" s="588"/>
      <c r="Q354" s="588">
        <f t="shared" ref="Q354:R357" si="410">M354+X354</f>
        <v>1575</v>
      </c>
      <c r="R354" s="588">
        <f t="shared" si="410"/>
        <v>1575</v>
      </c>
      <c r="S354" s="588">
        <v>4050</v>
      </c>
      <c r="T354" s="588">
        <v>4050</v>
      </c>
      <c r="U354" s="588"/>
      <c r="V354" s="588" t="s">
        <v>315</v>
      </c>
      <c r="W354" s="588">
        <f>X354</f>
        <v>1575</v>
      </c>
      <c r="X354" s="588">
        <v>1575</v>
      </c>
      <c r="Y354" s="588">
        <v>1575</v>
      </c>
      <c r="Z354" s="588"/>
      <c r="AA354" s="588"/>
      <c r="AB354" s="588"/>
      <c r="AC354" s="588"/>
      <c r="AD354" s="588"/>
      <c r="AE354" s="588"/>
      <c r="AF354" s="589">
        <v>200.28800000000001</v>
      </c>
      <c r="AG354" s="589">
        <v>1500.8920000000001</v>
      </c>
      <c r="AH354" s="588">
        <f t="shared" si="405"/>
        <v>1575</v>
      </c>
      <c r="AI354" s="588">
        <f t="shared" si="405"/>
        <v>1575</v>
      </c>
      <c r="AJ354" s="588"/>
      <c r="AK354" s="588"/>
      <c r="AL354" s="588">
        <f t="shared" si="406"/>
        <v>2925</v>
      </c>
      <c r="AM354" s="588">
        <f t="shared" si="406"/>
        <v>2925</v>
      </c>
      <c r="AN354" s="588">
        <f t="shared" si="406"/>
        <v>0</v>
      </c>
      <c r="AO354" s="588">
        <f t="shared" si="406"/>
        <v>0</v>
      </c>
      <c r="AP354" s="588">
        <f>AQ354</f>
        <v>2925</v>
      </c>
      <c r="AQ354" s="588">
        <v>2925</v>
      </c>
      <c r="AR354" s="588"/>
      <c r="AS354" s="588"/>
      <c r="AT354" s="590" t="s">
        <v>434</v>
      </c>
      <c r="AU354" s="591">
        <f t="shared" si="398"/>
        <v>0</v>
      </c>
      <c r="AV354" s="591" t="e">
        <f t="shared" ref="AV354:AV362" si="411">V354-AA354</f>
        <v>#VALUE!</v>
      </c>
      <c r="AW354" s="590"/>
      <c r="AX354" s="592"/>
      <c r="BG354" s="594">
        <f t="shared" si="400"/>
        <v>0</v>
      </c>
    </row>
    <row r="355" spans="1:59" s="593" customFormat="1" ht="59.25" customHeight="1">
      <c r="A355" s="688">
        <v>2</v>
      </c>
      <c r="B355" s="585" t="s">
        <v>629</v>
      </c>
      <c r="C355" s="678" t="s">
        <v>359</v>
      </c>
      <c r="D355" s="678"/>
      <c r="E355" s="678" t="s">
        <v>1006</v>
      </c>
      <c r="F355" s="678"/>
      <c r="G355" s="678"/>
      <c r="H355" s="591"/>
      <c r="I355" s="586"/>
      <c r="J355" s="680" t="s">
        <v>630</v>
      </c>
      <c r="K355" s="588">
        <v>13136</v>
      </c>
      <c r="L355" s="588">
        <v>13136</v>
      </c>
      <c r="M355" s="588"/>
      <c r="N355" s="588"/>
      <c r="O355" s="588"/>
      <c r="P355" s="588"/>
      <c r="Q355" s="588">
        <f t="shared" si="410"/>
        <v>4494</v>
      </c>
      <c r="R355" s="588">
        <f t="shared" si="410"/>
        <v>4494</v>
      </c>
      <c r="S355" s="588">
        <v>11822.400000000001</v>
      </c>
      <c r="T355" s="588">
        <v>11822.400000000001</v>
      </c>
      <c r="U355" s="588"/>
      <c r="V355" s="588"/>
      <c r="W355" s="588">
        <f>X355+AC355</f>
        <v>9899</v>
      </c>
      <c r="X355" s="588">
        <v>4494</v>
      </c>
      <c r="Y355" s="588">
        <v>4494</v>
      </c>
      <c r="Z355" s="588"/>
      <c r="AA355" s="588"/>
      <c r="AB355" s="588">
        <v>5405</v>
      </c>
      <c r="AC355" s="588">
        <v>5405</v>
      </c>
      <c r="AD355" s="588"/>
      <c r="AE355" s="588"/>
      <c r="AF355" s="589">
        <v>4405</v>
      </c>
      <c r="AG355" s="589">
        <v>5405</v>
      </c>
      <c r="AH355" s="588">
        <f t="shared" si="405"/>
        <v>9899</v>
      </c>
      <c r="AI355" s="588">
        <f t="shared" si="405"/>
        <v>9899</v>
      </c>
      <c r="AJ355" s="588"/>
      <c r="AK355" s="588"/>
      <c r="AL355" s="588">
        <f t="shared" si="406"/>
        <v>3237</v>
      </c>
      <c r="AM355" s="588">
        <f t="shared" si="406"/>
        <v>3237</v>
      </c>
      <c r="AN355" s="588">
        <f t="shared" si="406"/>
        <v>0</v>
      </c>
      <c r="AO355" s="588">
        <f t="shared" si="406"/>
        <v>0</v>
      </c>
      <c r="AP355" s="588">
        <f t="shared" ref="AP355:AP356" si="412">AQ355</f>
        <v>3237</v>
      </c>
      <c r="AQ355" s="588">
        <v>3237</v>
      </c>
      <c r="AR355" s="588"/>
      <c r="AS355" s="588"/>
      <c r="AT355" s="590" t="s">
        <v>434</v>
      </c>
      <c r="AU355" s="591">
        <f t="shared" si="398"/>
        <v>0</v>
      </c>
      <c r="AV355" s="591">
        <f t="shared" si="411"/>
        <v>0</v>
      </c>
      <c r="AW355" s="681"/>
      <c r="AX355" s="592"/>
      <c r="BF355" s="593">
        <f>205-196</f>
        <v>9</v>
      </c>
      <c r="BG355" s="594">
        <f t="shared" si="400"/>
        <v>0</v>
      </c>
    </row>
    <row r="356" spans="1:59" s="593" customFormat="1" ht="59.25" customHeight="1">
      <c r="A356" s="688">
        <v>3</v>
      </c>
      <c r="B356" s="585" t="s">
        <v>631</v>
      </c>
      <c r="C356" s="678" t="s">
        <v>632</v>
      </c>
      <c r="D356" s="678"/>
      <c r="E356" s="678" t="s">
        <v>1006</v>
      </c>
      <c r="F356" s="678"/>
      <c r="G356" s="678"/>
      <c r="H356" s="591"/>
      <c r="I356" s="586" t="s">
        <v>627</v>
      </c>
      <c r="J356" s="680" t="s">
        <v>633</v>
      </c>
      <c r="K356" s="589">
        <v>12864</v>
      </c>
      <c r="L356" s="588">
        <v>12864</v>
      </c>
      <c r="M356" s="588"/>
      <c r="N356" s="588"/>
      <c r="O356" s="588"/>
      <c r="P356" s="588"/>
      <c r="Q356" s="588">
        <f t="shared" si="410"/>
        <v>4502</v>
      </c>
      <c r="R356" s="588">
        <f t="shared" si="410"/>
        <v>4502</v>
      </c>
      <c r="S356" s="588">
        <v>11577.599999999999</v>
      </c>
      <c r="T356" s="588">
        <v>11577.599999999999</v>
      </c>
      <c r="U356" s="588"/>
      <c r="V356" s="588"/>
      <c r="W356" s="588">
        <f>X356+AC356</f>
        <v>9902</v>
      </c>
      <c r="X356" s="588">
        <v>4502</v>
      </c>
      <c r="Y356" s="588">
        <v>4502</v>
      </c>
      <c r="Z356" s="588"/>
      <c r="AA356" s="588"/>
      <c r="AB356" s="588">
        <v>5400</v>
      </c>
      <c r="AC356" s="588">
        <v>5400</v>
      </c>
      <c r="AD356" s="588"/>
      <c r="AE356" s="588"/>
      <c r="AF356" s="589">
        <v>5400</v>
      </c>
      <c r="AG356" s="589">
        <v>5400</v>
      </c>
      <c r="AH356" s="588">
        <f t="shared" si="405"/>
        <v>9902</v>
      </c>
      <c r="AI356" s="588">
        <f t="shared" si="405"/>
        <v>9902</v>
      </c>
      <c r="AJ356" s="588"/>
      <c r="AK356" s="588"/>
      <c r="AL356" s="588">
        <f t="shared" si="406"/>
        <v>2962</v>
      </c>
      <c r="AM356" s="588">
        <f t="shared" si="406"/>
        <v>2962</v>
      </c>
      <c r="AN356" s="588">
        <f t="shared" si="406"/>
        <v>0</v>
      </c>
      <c r="AO356" s="588">
        <f t="shared" si="406"/>
        <v>0</v>
      </c>
      <c r="AP356" s="588">
        <f t="shared" si="412"/>
        <v>2962</v>
      </c>
      <c r="AQ356" s="588">
        <v>2962</v>
      </c>
      <c r="AR356" s="588"/>
      <c r="AS356" s="588"/>
      <c r="AT356" s="590" t="s">
        <v>434</v>
      </c>
      <c r="AU356" s="591">
        <f t="shared" si="398"/>
        <v>0</v>
      </c>
      <c r="AV356" s="591">
        <f t="shared" si="411"/>
        <v>0</v>
      </c>
      <c r="AW356" s="681"/>
      <c r="AX356" s="592"/>
      <c r="BG356" s="594">
        <f t="shared" si="400"/>
        <v>0</v>
      </c>
    </row>
    <row r="357" spans="1:59" s="593" customFormat="1" ht="59.25" customHeight="1">
      <c r="A357" s="688">
        <v>4</v>
      </c>
      <c r="B357" s="585" t="s">
        <v>634</v>
      </c>
      <c r="C357" s="591" t="s">
        <v>626</v>
      </c>
      <c r="D357" s="591"/>
      <c r="E357" s="591"/>
      <c r="F357" s="591"/>
      <c r="G357" s="591"/>
      <c r="H357" s="591"/>
      <c r="I357" s="586"/>
      <c r="J357" s="680" t="s">
        <v>635</v>
      </c>
      <c r="K357" s="589">
        <v>4838</v>
      </c>
      <c r="L357" s="588">
        <v>4838</v>
      </c>
      <c r="M357" s="588"/>
      <c r="N357" s="588"/>
      <c r="O357" s="588"/>
      <c r="P357" s="588"/>
      <c r="Q357" s="588">
        <f t="shared" si="410"/>
        <v>1847</v>
      </c>
      <c r="R357" s="588">
        <f t="shared" si="410"/>
        <v>1847</v>
      </c>
      <c r="S357" s="588">
        <v>4354.2</v>
      </c>
      <c r="T357" s="588">
        <v>4354.2</v>
      </c>
      <c r="U357" s="588"/>
      <c r="V357" s="588"/>
      <c r="W357" s="588"/>
      <c r="X357" s="588">
        <v>1847</v>
      </c>
      <c r="Y357" s="588">
        <v>1847</v>
      </c>
      <c r="Z357" s="588"/>
      <c r="AA357" s="588"/>
      <c r="AB357" s="588">
        <v>3400</v>
      </c>
      <c r="AC357" s="588">
        <v>3400</v>
      </c>
      <c r="AD357" s="588"/>
      <c r="AE357" s="588"/>
      <c r="AF357" s="589">
        <v>2855.933</v>
      </c>
      <c r="AG357" s="589">
        <v>2855.933</v>
      </c>
      <c r="AH357" s="667">
        <f t="shared" si="405"/>
        <v>5247</v>
      </c>
      <c r="AI357" s="667">
        <f t="shared" si="405"/>
        <v>5247</v>
      </c>
      <c r="AJ357" s="667"/>
      <c r="AK357" s="667"/>
      <c r="AL357" s="667">
        <f t="shared" si="406"/>
        <v>0</v>
      </c>
      <c r="AM357" s="667">
        <f t="shared" si="406"/>
        <v>0</v>
      </c>
      <c r="AN357" s="667">
        <f t="shared" si="406"/>
        <v>0</v>
      </c>
      <c r="AO357" s="667">
        <f t="shared" si="406"/>
        <v>0</v>
      </c>
      <c r="AP357" s="588"/>
      <c r="AQ357" s="588"/>
      <c r="AR357" s="588"/>
      <c r="AS357" s="588"/>
      <c r="AT357" s="590" t="s">
        <v>334</v>
      </c>
      <c r="AU357" s="591">
        <f t="shared" si="398"/>
        <v>0</v>
      </c>
      <c r="AV357" s="591">
        <f t="shared" si="411"/>
        <v>0</v>
      </c>
      <c r="AW357" s="681"/>
      <c r="AX357" s="592"/>
      <c r="BG357" s="594">
        <f t="shared" si="400"/>
        <v>0</v>
      </c>
    </row>
    <row r="358" spans="1:59" s="670" customFormat="1" ht="59.25" customHeight="1">
      <c r="A358" s="682" t="s">
        <v>46</v>
      </c>
      <c r="B358" s="672" t="s">
        <v>289</v>
      </c>
      <c r="C358" s="668"/>
      <c r="D358" s="668"/>
      <c r="E358" s="668"/>
      <c r="F358" s="668"/>
      <c r="G358" s="668"/>
      <c r="H358" s="668"/>
      <c r="I358" s="664"/>
      <c r="J358" s="689"/>
      <c r="K358" s="690">
        <f>K359</f>
        <v>11800</v>
      </c>
      <c r="L358" s="690">
        <f t="shared" ref="L358:AS358" si="413">L359</f>
        <v>11800</v>
      </c>
      <c r="M358" s="690">
        <f t="shared" si="413"/>
        <v>0</v>
      </c>
      <c r="N358" s="690">
        <f t="shared" si="413"/>
        <v>0</v>
      </c>
      <c r="O358" s="690">
        <f t="shared" si="413"/>
        <v>0</v>
      </c>
      <c r="P358" s="690">
        <f t="shared" si="413"/>
        <v>0</v>
      </c>
      <c r="Q358" s="690">
        <f t="shared" si="413"/>
        <v>332</v>
      </c>
      <c r="R358" s="690">
        <f t="shared" si="413"/>
        <v>332</v>
      </c>
      <c r="S358" s="690">
        <f t="shared" si="413"/>
        <v>41514</v>
      </c>
      <c r="T358" s="690">
        <f t="shared" si="413"/>
        <v>41514</v>
      </c>
      <c r="U358" s="690">
        <f t="shared" si="413"/>
        <v>0</v>
      </c>
      <c r="V358" s="690">
        <f t="shared" si="413"/>
        <v>0</v>
      </c>
      <c r="W358" s="690"/>
      <c r="X358" s="690">
        <f t="shared" si="413"/>
        <v>332</v>
      </c>
      <c r="Y358" s="690">
        <f t="shared" si="413"/>
        <v>332</v>
      </c>
      <c r="Z358" s="690">
        <f t="shared" si="413"/>
        <v>0</v>
      </c>
      <c r="AA358" s="690">
        <f t="shared" si="413"/>
        <v>0</v>
      </c>
      <c r="AB358" s="690">
        <f t="shared" si="413"/>
        <v>0</v>
      </c>
      <c r="AC358" s="690">
        <f t="shared" si="413"/>
        <v>0</v>
      </c>
      <c r="AD358" s="690">
        <f t="shared" si="413"/>
        <v>0</v>
      </c>
      <c r="AE358" s="690">
        <f t="shared" si="413"/>
        <v>0</v>
      </c>
      <c r="AF358" s="690">
        <f t="shared" si="413"/>
        <v>0</v>
      </c>
      <c r="AG358" s="690">
        <f t="shared" si="413"/>
        <v>0</v>
      </c>
      <c r="AH358" s="690">
        <f t="shared" si="413"/>
        <v>0</v>
      </c>
      <c r="AI358" s="690">
        <f t="shared" si="413"/>
        <v>0</v>
      </c>
      <c r="AJ358" s="690"/>
      <c r="AK358" s="690"/>
      <c r="AL358" s="690">
        <f t="shared" si="413"/>
        <v>5290</v>
      </c>
      <c r="AM358" s="690">
        <f t="shared" si="413"/>
        <v>5290</v>
      </c>
      <c r="AN358" s="690">
        <f t="shared" si="413"/>
        <v>0</v>
      </c>
      <c r="AO358" s="690">
        <f t="shared" si="413"/>
        <v>0</v>
      </c>
      <c r="AP358" s="690">
        <f t="shared" si="413"/>
        <v>4700</v>
      </c>
      <c r="AQ358" s="690">
        <f t="shared" si="413"/>
        <v>4700</v>
      </c>
      <c r="AR358" s="690">
        <f t="shared" si="413"/>
        <v>0</v>
      </c>
      <c r="AS358" s="690">
        <f t="shared" si="413"/>
        <v>0</v>
      </c>
      <c r="AT358" s="691"/>
      <c r="AU358" s="591">
        <f t="shared" si="398"/>
        <v>0</v>
      </c>
      <c r="AV358" s="668"/>
      <c r="AW358" s="692"/>
      <c r="AX358" s="669"/>
      <c r="BG358" s="594">
        <f t="shared" si="400"/>
        <v>590</v>
      </c>
    </row>
    <row r="359" spans="1:59" s="670" customFormat="1" ht="59.25" customHeight="1">
      <c r="A359" s="686" t="s">
        <v>35</v>
      </c>
      <c r="B359" s="687" t="s">
        <v>45</v>
      </c>
      <c r="C359" s="668"/>
      <c r="D359" s="668"/>
      <c r="E359" s="668"/>
      <c r="F359" s="668"/>
      <c r="G359" s="668"/>
      <c r="H359" s="668"/>
      <c r="I359" s="664"/>
      <c r="J359" s="689"/>
      <c r="K359" s="690">
        <f t="shared" ref="K359:V359" si="414">SUM(K360:K366)</f>
        <v>11800</v>
      </c>
      <c r="L359" s="690">
        <f t="shared" si="414"/>
        <v>11800</v>
      </c>
      <c r="M359" s="690">
        <f t="shared" si="414"/>
        <v>0</v>
      </c>
      <c r="N359" s="690">
        <f t="shared" si="414"/>
        <v>0</v>
      </c>
      <c r="O359" s="690">
        <f t="shared" si="414"/>
        <v>0</v>
      </c>
      <c r="P359" s="690">
        <f t="shared" si="414"/>
        <v>0</v>
      </c>
      <c r="Q359" s="690">
        <f t="shared" si="414"/>
        <v>332</v>
      </c>
      <c r="R359" s="690">
        <f t="shared" si="414"/>
        <v>332</v>
      </c>
      <c r="S359" s="690">
        <f t="shared" si="414"/>
        <v>41514</v>
      </c>
      <c r="T359" s="690">
        <f t="shared" si="414"/>
        <v>41514</v>
      </c>
      <c r="U359" s="690">
        <f t="shared" si="414"/>
        <v>0</v>
      </c>
      <c r="V359" s="690">
        <f t="shared" si="414"/>
        <v>0</v>
      </c>
      <c r="W359" s="690"/>
      <c r="X359" s="690">
        <f t="shared" ref="X359:AI359" si="415">SUM(X360:X366)</f>
        <v>332</v>
      </c>
      <c r="Y359" s="690">
        <f t="shared" si="415"/>
        <v>332</v>
      </c>
      <c r="Z359" s="690">
        <f t="shared" si="415"/>
        <v>0</v>
      </c>
      <c r="AA359" s="690">
        <f t="shared" si="415"/>
        <v>0</v>
      </c>
      <c r="AB359" s="690">
        <f t="shared" si="415"/>
        <v>0</v>
      </c>
      <c r="AC359" s="690">
        <f t="shared" si="415"/>
        <v>0</v>
      </c>
      <c r="AD359" s="690">
        <f t="shared" si="415"/>
        <v>0</v>
      </c>
      <c r="AE359" s="690">
        <f t="shared" si="415"/>
        <v>0</v>
      </c>
      <c r="AF359" s="690">
        <f t="shared" si="415"/>
        <v>0</v>
      </c>
      <c r="AG359" s="690">
        <f t="shared" si="415"/>
        <v>0</v>
      </c>
      <c r="AH359" s="690">
        <f t="shared" si="415"/>
        <v>0</v>
      </c>
      <c r="AI359" s="690">
        <f t="shared" si="415"/>
        <v>0</v>
      </c>
      <c r="AJ359" s="690"/>
      <c r="AK359" s="690"/>
      <c r="AL359" s="690">
        <f>SUM(AL360:AL366)</f>
        <v>5290</v>
      </c>
      <c r="AM359" s="690">
        <f>SUM(AM360:AM366)</f>
        <v>5290</v>
      </c>
      <c r="AN359" s="690">
        <f>SUM(AN360:AN366)</f>
        <v>0</v>
      </c>
      <c r="AO359" s="690">
        <f>SUM(AO360:AO366)</f>
        <v>0</v>
      </c>
      <c r="AP359" s="690">
        <f>AP360+AP361</f>
        <v>4700</v>
      </c>
      <c r="AQ359" s="690">
        <f>AQ360+AQ361</f>
        <v>4700</v>
      </c>
      <c r="AR359" s="690">
        <f>SUM(AR360:AR366)</f>
        <v>0</v>
      </c>
      <c r="AS359" s="690">
        <f>SUM(AS360:AS366)</f>
        <v>0</v>
      </c>
      <c r="AT359" s="691"/>
      <c r="AU359" s="591">
        <f t="shared" si="398"/>
        <v>0</v>
      </c>
      <c r="AV359" s="668"/>
      <c r="AW359" s="692"/>
      <c r="AX359" s="669"/>
      <c r="BG359" s="594">
        <f t="shared" si="400"/>
        <v>590</v>
      </c>
    </row>
    <row r="360" spans="1:59" s="593" customFormat="1" ht="59.25" customHeight="1">
      <c r="A360" s="688">
        <v>1</v>
      </c>
      <c r="B360" s="693" t="s">
        <v>772</v>
      </c>
      <c r="C360" s="694" t="s">
        <v>359</v>
      </c>
      <c r="D360" s="694"/>
      <c r="E360" s="678" t="s">
        <v>1006</v>
      </c>
      <c r="F360" s="694"/>
      <c r="G360" s="694"/>
      <c r="H360" s="591"/>
      <c r="I360" s="678" t="s">
        <v>811</v>
      </c>
      <c r="J360" s="587" t="s">
        <v>1040</v>
      </c>
      <c r="K360" s="588">
        <v>6800</v>
      </c>
      <c r="L360" s="588">
        <v>6800</v>
      </c>
      <c r="M360" s="588"/>
      <c r="N360" s="588"/>
      <c r="O360" s="588"/>
      <c r="P360" s="588"/>
      <c r="Q360" s="588">
        <f t="shared" ref="Q360:R361" si="416">M360+X360</f>
        <v>80</v>
      </c>
      <c r="R360" s="588">
        <f t="shared" si="416"/>
        <v>80</v>
      </c>
      <c r="S360" s="588">
        <v>6800</v>
      </c>
      <c r="T360" s="588">
        <v>6800</v>
      </c>
      <c r="U360" s="588"/>
      <c r="V360" s="588"/>
      <c r="W360" s="588">
        <f>Y360</f>
        <v>80</v>
      </c>
      <c r="X360" s="588">
        <v>80</v>
      </c>
      <c r="Y360" s="588">
        <v>80</v>
      </c>
      <c r="Z360" s="588"/>
      <c r="AA360" s="588"/>
      <c r="AB360" s="588"/>
      <c r="AC360" s="588"/>
      <c r="AD360" s="588"/>
      <c r="AE360" s="588"/>
      <c r="AF360" s="588"/>
      <c r="AG360" s="588"/>
      <c r="AH360" s="588"/>
      <c r="AI360" s="588"/>
      <c r="AJ360" s="588"/>
      <c r="AK360" s="588"/>
      <c r="AL360" s="588">
        <f t="shared" ref="AL360:AO361" si="417">AP360</f>
        <v>3000</v>
      </c>
      <c r="AM360" s="588">
        <f t="shared" si="417"/>
        <v>3000</v>
      </c>
      <c r="AN360" s="588">
        <f t="shared" si="417"/>
        <v>0</v>
      </c>
      <c r="AO360" s="588">
        <f t="shared" si="417"/>
        <v>0</v>
      </c>
      <c r="AP360" s="588">
        <f>AQ360</f>
        <v>3000</v>
      </c>
      <c r="AQ360" s="588">
        <v>3000</v>
      </c>
      <c r="AR360" s="588"/>
      <c r="AS360" s="588"/>
      <c r="AT360" s="586"/>
      <c r="AU360" s="591">
        <f t="shared" si="398"/>
        <v>0</v>
      </c>
      <c r="AV360" s="591">
        <f t="shared" ref="AV360:AV361" si="418">V360-AA360</f>
        <v>0</v>
      </c>
      <c r="AW360" s="681"/>
      <c r="AX360" s="592"/>
      <c r="BG360" s="594">
        <f t="shared" si="400"/>
        <v>0</v>
      </c>
    </row>
    <row r="361" spans="1:59" s="593" customFormat="1" ht="59.25" customHeight="1">
      <c r="A361" s="688">
        <v>2</v>
      </c>
      <c r="B361" s="693" t="s">
        <v>637</v>
      </c>
      <c r="C361" s="694" t="s">
        <v>359</v>
      </c>
      <c r="D361" s="694"/>
      <c r="E361" s="678" t="s">
        <v>1006</v>
      </c>
      <c r="F361" s="694"/>
      <c r="G361" s="694"/>
      <c r="H361" s="591"/>
      <c r="I361" s="678"/>
      <c r="J361" s="587" t="s">
        <v>1041</v>
      </c>
      <c r="K361" s="588">
        <v>5000</v>
      </c>
      <c r="L361" s="588">
        <v>5000</v>
      </c>
      <c r="M361" s="588"/>
      <c r="N361" s="588"/>
      <c r="O361" s="588"/>
      <c r="P361" s="588"/>
      <c r="Q361" s="588">
        <f t="shared" si="416"/>
        <v>80</v>
      </c>
      <c r="R361" s="588">
        <f t="shared" si="416"/>
        <v>80</v>
      </c>
      <c r="S361" s="588">
        <v>5000</v>
      </c>
      <c r="T361" s="588">
        <v>5000</v>
      </c>
      <c r="U361" s="588"/>
      <c r="V361" s="588"/>
      <c r="W361" s="588">
        <f>Y361</f>
        <v>80</v>
      </c>
      <c r="X361" s="588">
        <v>80</v>
      </c>
      <c r="Y361" s="588">
        <v>80</v>
      </c>
      <c r="Z361" s="588"/>
      <c r="AA361" s="588"/>
      <c r="AB361" s="588"/>
      <c r="AC361" s="588"/>
      <c r="AD361" s="588"/>
      <c r="AE361" s="588"/>
      <c r="AF361" s="588"/>
      <c r="AG361" s="588"/>
      <c r="AH361" s="588"/>
      <c r="AI361" s="588"/>
      <c r="AJ361" s="588"/>
      <c r="AK361" s="588"/>
      <c r="AL361" s="588">
        <f t="shared" si="417"/>
        <v>1700</v>
      </c>
      <c r="AM361" s="588">
        <f t="shared" si="417"/>
        <v>1700</v>
      </c>
      <c r="AN361" s="588">
        <f t="shared" si="417"/>
        <v>0</v>
      </c>
      <c r="AO361" s="588">
        <f t="shared" si="417"/>
        <v>0</v>
      </c>
      <c r="AP361" s="588">
        <f>AQ361</f>
        <v>1700</v>
      </c>
      <c r="AQ361" s="588">
        <v>1700</v>
      </c>
      <c r="AR361" s="588"/>
      <c r="AS361" s="588"/>
      <c r="AT361" s="586"/>
      <c r="AU361" s="591">
        <f t="shared" si="398"/>
        <v>0</v>
      </c>
      <c r="AV361" s="591">
        <f t="shared" si="418"/>
        <v>0</v>
      </c>
      <c r="AW361" s="681"/>
      <c r="AX361" s="592"/>
      <c r="BG361" s="594">
        <f t="shared" si="400"/>
        <v>0</v>
      </c>
    </row>
    <row r="362" spans="1:59" s="677" customFormat="1" ht="59.25" customHeight="1">
      <c r="A362" s="695" t="s">
        <v>279</v>
      </c>
      <c r="B362" s="687" t="s">
        <v>169</v>
      </c>
      <c r="C362" s="696"/>
      <c r="D362" s="696"/>
      <c r="E362" s="696"/>
      <c r="F362" s="696"/>
      <c r="G362" s="696"/>
      <c r="H362" s="696"/>
      <c r="I362" s="696"/>
      <c r="J362" s="674"/>
      <c r="K362" s="697">
        <f>K363</f>
        <v>0</v>
      </c>
      <c r="L362" s="697">
        <f t="shared" ref="L362:AS362" si="419">L363</f>
        <v>0</v>
      </c>
      <c r="M362" s="697">
        <f t="shared" si="419"/>
        <v>0</v>
      </c>
      <c r="N362" s="697">
        <f t="shared" si="419"/>
        <v>0</v>
      </c>
      <c r="O362" s="697">
        <f t="shared" si="419"/>
        <v>0</v>
      </c>
      <c r="P362" s="697">
        <f t="shared" si="419"/>
        <v>0</v>
      </c>
      <c r="Q362" s="697">
        <f t="shared" si="419"/>
        <v>0</v>
      </c>
      <c r="R362" s="697">
        <f t="shared" si="419"/>
        <v>0</v>
      </c>
      <c r="S362" s="697">
        <f t="shared" si="419"/>
        <v>13307</v>
      </c>
      <c r="T362" s="697">
        <f t="shared" si="419"/>
        <v>13307</v>
      </c>
      <c r="U362" s="697">
        <f t="shared" si="419"/>
        <v>0</v>
      </c>
      <c r="V362" s="697">
        <f t="shared" si="419"/>
        <v>0</v>
      </c>
      <c r="W362" s="697"/>
      <c r="X362" s="697">
        <f t="shared" si="419"/>
        <v>0</v>
      </c>
      <c r="Y362" s="697">
        <f t="shared" si="419"/>
        <v>0</v>
      </c>
      <c r="Z362" s="697">
        <f t="shared" si="419"/>
        <v>0</v>
      </c>
      <c r="AA362" s="697">
        <f t="shared" si="419"/>
        <v>0</v>
      </c>
      <c r="AB362" s="697">
        <f t="shared" si="419"/>
        <v>0</v>
      </c>
      <c r="AC362" s="697">
        <f t="shared" si="419"/>
        <v>0</v>
      </c>
      <c r="AD362" s="697">
        <f t="shared" si="419"/>
        <v>0</v>
      </c>
      <c r="AE362" s="697">
        <f t="shared" si="419"/>
        <v>0</v>
      </c>
      <c r="AF362" s="697">
        <f t="shared" si="419"/>
        <v>0</v>
      </c>
      <c r="AG362" s="697">
        <f t="shared" si="419"/>
        <v>0</v>
      </c>
      <c r="AH362" s="697">
        <f t="shared" si="419"/>
        <v>0</v>
      </c>
      <c r="AI362" s="697">
        <f t="shared" si="419"/>
        <v>0</v>
      </c>
      <c r="AJ362" s="697"/>
      <c r="AK362" s="697"/>
      <c r="AL362" s="697">
        <f t="shared" si="419"/>
        <v>209</v>
      </c>
      <c r="AM362" s="697">
        <f t="shared" si="419"/>
        <v>209</v>
      </c>
      <c r="AN362" s="697">
        <f t="shared" si="419"/>
        <v>0</v>
      </c>
      <c r="AO362" s="697">
        <f t="shared" si="419"/>
        <v>0</v>
      </c>
      <c r="AP362" s="697">
        <f t="shared" si="419"/>
        <v>381</v>
      </c>
      <c r="AQ362" s="697">
        <f>AQ363</f>
        <v>381</v>
      </c>
      <c r="AR362" s="697">
        <f t="shared" si="419"/>
        <v>0</v>
      </c>
      <c r="AS362" s="697">
        <f t="shared" si="419"/>
        <v>0</v>
      </c>
      <c r="AT362" s="674"/>
      <c r="AU362" s="591">
        <f t="shared" si="398"/>
        <v>0</v>
      </c>
      <c r="AV362" s="683">
        <f t="shared" si="411"/>
        <v>0</v>
      </c>
      <c r="AW362" s="673"/>
      <c r="AX362" s="698"/>
      <c r="AZ362" s="699"/>
      <c r="BA362" s="699"/>
      <c r="BG362" s="594">
        <f t="shared" si="400"/>
        <v>-172</v>
      </c>
    </row>
    <row r="363" spans="1:59" s="677" customFormat="1" ht="59.25" customHeight="1">
      <c r="A363" s="695" t="s">
        <v>42</v>
      </c>
      <c r="B363" s="687" t="s">
        <v>45</v>
      </c>
      <c r="C363" s="696"/>
      <c r="D363" s="696"/>
      <c r="E363" s="696"/>
      <c r="F363" s="696"/>
      <c r="G363" s="696"/>
      <c r="H363" s="696"/>
      <c r="I363" s="696"/>
      <c r="J363" s="674"/>
      <c r="K363" s="697">
        <f t="shared" ref="K363:R363" si="420">SUM(K367:K382)</f>
        <v>0</v>
      </c>
      <c r="L363" s="697">
        <f t="shared" si="420"/>
        <v>0</v>
      </c>
      <c r="M363" s="697">
        <f t="shared" si="420"/>
        <v>0</v>
      </c>
      <c r="N363" s="697">
        <f t="shared" si="420"/>
        <v>0</v>
      </c>
      <c r="O363" s="697">
        <f t="shared" si="420"/>
        <v>0</v>
      </c>
      <c r="P363" s="697">
        <f t="shared" si="420"/>
        <v>0</v>
      </c>
      <c r="Q363" s="697">
        <f t="shared" si="420"/>
        <v>0</v>
      </c>
      <c r="R363" s="697">
        <f t="shared" si="420"/>
        <v>0</v>
      </c>
      <c r="S363" s="697">
        <f>SUM(S367:S370)</f>
        <v>13307</v>
      </c>
      <c r="T363" s="697">
        <f>SUM(T367:T370)</f>
        <v>13307</v>
      </c>
      <c r="U363" s="697">
        <f>SUM(U367:U370)</f>
        <v>0</v>
      </c>
      <c r="V363" s="697">
        <f>SUM(V367:V370)</f>
        <v>0</v>
      </c>
      <c r="W363" s="697"/>
      <c r="X363" s="697">
        <f t="shared" ref="X363:AI363" si="421">SUM(X367:X370)</f>
        <v>0</v>
      </c>
      <c r="Y363" s="697">
        <f t="shared" si="421"/>
        <v>0</v>
      </c>
      <c r="Z363" s="697">
        <f t="shared" si="421"/>
        <v>0</v>
      </c>
      <c r="AA363" s="697">
        <f t="shared" si="421"/>
        <v>0</v>
      </c>
      <c r="AB363" s="697">
        <f t="shared" si="421"/>
        <v>0</v>
      </c>
      <c r="AC363" s="697">
        <f t="shared" si="421"/>
        <v>0</v>
      </c>
      <c r="AD363" s="697">
        <f t="shared" si="421"/>
        <v>0</v>
      </c>
      <c r="AE363" s="697">
        <f t="shared" si="421"/>
        <v>0</v>
      </c>
      <c r="AF363" s="697">
        <f t="shared" si="421"/>
        <v>0</v>
      </c>
      <c r="AG363" s="697">
        <f t="shared" si="421"/>
        <v>0</v>
      </c>
      <c r="AH363" s="697">
        <f t="shared" si="421"/>
        <v>0</v>
      </c>
      <c r="AI363" s="697">
        <f t="shared" si="421"/>
        <v>0</v>
      </c>
      <c r="AJ363" s="697"/>
      <c r="AK363" s="697"/>
      <c r="AL363" s="697">
        <f>SUM(AL367:AL370)</f>
        <v>209</v>
      </c>
      <c r="AM363" s="697">
        <f>SUM(AM367:AM370)</f>
        <v>209</v>
      </c>
      <c r="AN363" s="697">
        <f>SUM(AN367:AN370)</f>
        <v>0</v>
      </c>
      <c r="AO363" s="697">
        <f>SUM(AO367:AO370)</f>
        <v>0</v>
      </c>
      <c r="AP363" s="697">
        <f>SUM(AP364:AP370)</f>
        <v>381</v>
      </c>
      <c r="AQ363" s="697">
        <f>SUM(AQ364:AQ370)</f>
        <v>381</v>
      </c>
      <c r="AR363" s="697">
        <f>SUM(AR367:AR370)</f>
        <v>0</v>
      </c>
      <c r="AS363" s="697">
        <f>SUM(AS367:AS370)</f>
        <v>0</v>
      </c>
      <c r="AT363" s="674"/>
      <c r="AU363" s="591">
        <f t="shared" si="398"/>
        <v>0</v>
      </c>
      <c r="AV363" s="683"/>
      <c r="AW363" s="673"/>
      <c r="AX363" s="698"/>
      <c r="AZ363" s="699"/>
      <c r="BA363" s="699"/>
      <c r="BG363" s="594">
        <f t="shared" si="400"/>
        <v>-172</v>
      </c>
    </row>
    <row r="364" spans="1:59" s="593" customFormat="1" ht="59.25" customHeight="1">
      <c r="A364" s="688">
        <v>1</v>
      </c>
      <c r="B364" s="693" t="s">
        <v>636</v>
      </c>
      <c r="C364" s="694" t="s">
        <v>632</v>
      </c>
      <c r="D364" s="694"/>
      <c r="E364" s="678" t="s">
        <v>1006</v>
      </c>
      <c r="F364" s="694"/>
      <c r="G364" s="694"/>
      <c r="H364" s="591"/>
      <c r="I364" s="678"/>
      <c r="J364" s="680"/>
      <c r="K364" s="588"/>
      <c r="L364" s="588"/>
      <c r="M364" s="588"/>
      <c r="N364" s="588"/>
      <c r="O364" s="588"/>
      <c r="P364" s="588"/>
      <c r="Q364" s="588">
        <f t="shared" ref="Q364:R366" si="422">M364+X364</f>
        <v>62</v>
      </c>
      <c r="R364" s="588">
        <f t="shared" si="422"/>
        <v>62</v>
      </c>
      <c r="S364" s="588">
        <v>750</v>
      </c>
      <c r="T364" s="588">
        <v>750</v>
      </c>
      <c r="U364" s="588"/>
      <c r="V364" s="588"/>
      <c r="W364" s="588"/>
      <c r="X364" s="588">
        <v>62</v>
      </c>
      <c r="Y364" s="588">
        <v>62</v>
      </c>
      <c r="Z364" s="588"/>
      <c r="AA364" s="588"/>
      <c r="AB364" s="588"/>
      <c r="AC364" s="588"/>
      <c r="AD364" s="588"/>
      <c r="AE364" s="588"/>
      <c r="AF364" s="588"/>
      <c r="AG364" s="588"/>
      <c r="AH364" s="588"/>
      <c r="AI364" s="588"/>
      <c r="AJ364" s="588"/>
      <c r="AK364" s="588"/>
      <c r="AL364" s="588">
        <f t="shared" ref="AL364:AO370" si="423">AP364</f>
        <v>62</v>
      </c>
      <c r="AM364" s="588">
        <f t="shared" si="423"/>
        <v>62</v>
      </c>
      <c r="AN364" s="588">
        <f t="shared" si="423"/>
        <v>0</v>
      </c>
      <c r="AO364" s="588">
        <f t="shared" si="423"/>
        <v>0</v>
      </c>
      <c r="AP364" s="588">
        <f>AQ364</f>
        <v>62</v>
      </c>
      <c r="AQ364" s="588">
        <v>62</v>
      </c>
      <c r="AR364" s="588"/>
      <c r="AS364" s="588"/>
      <c r="AT364" s="586"/>
      <c r="AU364" s="591">
        <f t="shared" si="398"/>
        <v>0</v>
      </c>
      <c r="AV364" s="591">
        <f t="shared" ref="AV364:AV370" si="424">V364-AA364</f>
        <v>0</v>
      </c>
      <c r="AW364" s="681"/>
      <c r="AX364" s="592"/>
      <c r="BG364" s="594">
        <f>AL364-AQ364</f>
        <v>0</v>
      </c>
    </row>
    <row r="365" spans="1:59" s="593" customFormat="1" ht="59.25" customHeight="1">
      <c r="A365" s="688">
        <v>2</v>
      </c>
      <c r="B365" s="693" t="s">
        <v>775</v>
      </c>
      <c r="C365" s="694" t="s">
        <v>359</v>
      </c>
      <c r="D365" s="694"/>
      <c r="E365" s="678" t="s">
        <v>1006</v>
      </c>
      <c r="F365" s="694"/>
      <c r="G365" s="694"/>
      <c r="H365" s="591"/>
      <c r="I365" s="678"/>
      <c r="J365" s="680"/>
      <c r="K365" s="588"/>
      <c r="L365" s="588"/>
      <c r="M365" s="588"/>
      <c r="N365" s="588"/>
      <c r="O365" s="588"/>
      <c r="P365" s="588"/>
      <c r="Q365" s="588">
        <f t="shared" si="422"/>
        <v>55</v>
      </c>
      <c r="R365" s="588">
        <f t="shared" si="422"/>
        <v>55</v>
      </c>
      <c r="S365" s="588">
        <v>850</v>
      </c>
      <c r="T365" s="588">
        <v>850</v>
      </c>
      <c r="U365" s="588"/>
      <c r="V365" s="588"/>
      <c r="W365" s="588"/>
      <c r="X365" s="588">
        <v>55</v>
      </c>
      <c r="Y365" s="588">
        <v>55</v>
      </c>
      <c r="Z365" s="588"/>
      <c r="AA365" s="588"/>
      <c r="AB365" s="588"/>
      <c r="AC365" s="588"/>
      <c r="AD365" s="588"/>
      <c r="AE365" s="588"/>
      <c r="AF365" s="588"/>
      <c r="AG365" s="588"/>
      <c r="AH365" s="588"/>
      <c r="AI365" s="588"/>
      <c r="AJ365" s="588"/>
      <c r="AK365" s="588"/>
      <c r="AL365" s="588">
        <f t="shared" si="423"/>
        <v>55</v>
      </c>
      <c r="AM365" s="588">
        <f t="shared" si="423"/>
        <v>55</v>
      </c>
      <c r="AN365" s="588">
        <f t="shared" si="423"/>
        <v>0</v>
      </c>
      <c r="AO365" s="588">
        <f t="shared" si="423"/>
        <v>0</v>
      </c>
      <c r="AP365" s="588">
        <f t="shared" ref="AP365:AP370" si="425">AQ365</f>
        <v>55</v>
      </c>
      <c r="AQ365" s="588">
        <v>55</v>
      </c>
      <c r="AR365" s="588"/>
      <c r="AS365" s="588"/>
      <c r="AT365" s="586"/>
      <c r="AU365" s="591">
        <f t="shared" si="398"/>
        <v>0</v>
      </c>
      <c r="AV365" s="591">
        <f t="shared" si="424"/>
        <v>0</v>
      </c>
      <c r="AW365" s="681"/>
      <c r="AX365" s="592"/>
      <c r="BG365" s="594">
        <f>AL365-AQ365</f>
        <v>0</v>
      </c>
    </row>
    <row r="366" spans="1:59" s="593" customFormat="1" ht="59.25" customHeight="1">
      <c r="A366" s="688">
        <v>3</v>
      </c>
      <c r="B366" s="693" t="s">
        <v>638</v>
      </c>
      <c r="C366" s="694" t="s">
        <v>626</v>
      </c>
      <c r="D366" s="694"/>
      <c r="E366" s="678" t="s">
        <v>1006</v>
      </c>
      <c r="F366" s="694"/>
      <c r="G366" s="694"/>
      <c r="H366" s="591"/>
      <c r="I366" s="678"/>
      <c r="J366" s="680"/>
      <c r="K366" s="588"/>
      <c r="L366" s="588"/>
      <c r="M366" s="588"/>
      <c r="N366" s="588"/>
      <c r="O366" s="588"/>
      <c r="P366" s="588"/>
      <c r="Q366" s="588">
        <f t="shared" si="422"/>
        <v>55</v>
      </c>
      <c r="R366" s="588">
        <f t="shared" si="422"/>
        <v>55</v>
      </c>
      <c r="S366" s="588">
        <v>1500</v>
      </c>
      <c r="T366" s="588">
        <v>1500</v>
      </c>
      <c r="U366" s="588"/>
      <c r="V366" s="588"/>
      <c r="W366" s="588"/>
      <c r="X366" s="588">
        <v>55</v>
      </c>
      <c r="Y366" s="588">
        <v>55</v>
      </c>
      <c r="Z366" s="588"/>
      <c r="AA366" s="588"/>
      <c r="AB366" s="588"/>
      <c r="AC366" s="588"/>
      <c r="AD366" s="588"/>
      <c r="AE366" s="588"/>
      <c r="AF366" s="588"/>
      <c r="AG366" s="588"/>
      <c r="AH366" s="588"/>
      <c r="AI366" s="588"/>
      <c r="AJ366" s="588"/>
      <c r="AK366" s="588"/>
      <c r="AL366" s="588">
        <f t="shared" si="423"/>
        <v>55</v>
      </c>
      <c r="AM366" s="588">
        <f t="shared" si="423"/>
        <v>55</v>
      </c>
      <c r="AN366" s="588">
        <f t="shared" si="423"/>
        <v>0</v>
      </c>
      <c r="AO366" s="588">
        <f t="shared" si="423"/>
        <v>0</v>
      </c>
      <c r="AP366" s="588">
        <f t="shared" si="425"/>
        <v>55</v>
      </c>
      <c r="AQ366" s="588">
        <v>55</v>
      </c>
      <c r="AR366" s="588"/>
      <c r="AS366" s="588"/>
      <c r="AT366" s="586"/>
      <c r="AU366" s="591">
        <f t="shared" si="398"/>
        <v>0</v>
      </c>
      <c r="AV366" s="591">
        <f t="shared" si="424"/>
        <v>0</v>
      </c>
      <c r="AW366" s="681"/>
      <c r="AX366" s="592"/>
      <c r="BG366" s="594">
        <f>AL366-AQ366</f>
        <v>0</v>
      </c>
    </row>
    <row r="367" spans="1:59" s="593" customFormat="1" ht="59.25" customHeight="1">
      <c r="A367" s="688">
        <v>4</v>
      </c>
      <c r="B367" s="693" t="s">
        <v>1042</v>
      </c>
      <c r="C367" s="678" t="s">
        <v>632</v>
      </c>
      <c r="D367" s="678"/>
      <c r="E367" s="678" t="s">
        <v>1006</v>
      </c>
      <c r="F367" s="678"/>
      <c r="G367" s="678"/>
      <c r="H367" s="586"/>
      <c r="I367" s="586"/>
      <c r="J367" s="587"/>
      <c r="K367" s="588"/>
      <c r="L367" s="588"/>
      <c r="M367" s="588"/>
      <c r="N367" s="588"/>
      <c r="O367" s="588"/>
      <c r="P367" s="588"/>
      <c r="Q367" s="588">
        <f>M367+X367</f>
        <v>0</v>
      </c>
      <c r="R367" s="588">
        <f>N367+Y367</f>
        <v>0</v>
      </c>
      <c r="S367" s="588">
        <v>3410</v>
      </c>
      <c r="T367" s="588">
        <v>3410</v>
      </c>
      <c r="U367" s="588"/>
      <c r="V367" s="588"/>
      <c r="W367" s="588"/>
      <c r="X367" s="588"/>
      <c r="Y367" s="588"/>
      <c r="Z367" s="588"/>
      <c r="AA367" s="588"/>
      <c r="AB367" s="588"/>
      <c r="AC367" s="588"/>
      <c r="AD367" s="588"/>
      <c r="AE367" s="588"/>
      <c r="AF367" s="588"/>
      <c r="AG367" s="588"/>
      <c r="AH367" s="588"/>
      <c r="AI367" s="588"/>
      <c r="AJ367" s="588"/>
      <c r="AK367" s="588"/>
      <c r="AL367" s="588">
        <f t="shared" si="423"/>
        <v>50</v>
      </c>
      <c r="AM367" s="588">
        <f t="shared" si="423"/>
        <v>50</v>
      </c>
      <c r="AN367" s="588">
        <f t="shared" si="423"/>
        <v>0</v>
      </c>
      <c r="AO367" s="588">
        <f t="shared" si="423"/>
        <v>0</v>
      </c>
      <c r="AP367" s="588">
        <f t="shared" si="425"/>
        <v>50</v>
      </c>
      <c r="AQ367" s="588">
        <v>50</v>
      </c>
      <c r="AR367" s="588"/>
      <c r="AS367" s="588"/>
      <c r="AT367" s="586"/>
      <c r="AU367" s="591">
        <f>AP367-AQ367</f>
        <v>0</v>
      </c>
      <c r="AV367" s="591">
        <f>V367-AA367</f>
        <v>0</v>
      </c>
      <c r="AW367" s="681"/>
      <c r="AX367" s="592"/>
      <c r="BG367" s="594">
        <f>AL367-AQ367</f>
        <v>0</v>
      </c>
    </row>
    <row r="368" spans="1:59" s="593" customFormat="1" ht="59.25" customHeight="1">
      <c r="A368" s="688">
        <v>5</v>
      </c>
      <c r="B368" s="693" t="s">
        <v>1043</v>
      </c>
      <c r="C368" s="678" t="s">
        <v>359</v>
      </c>
      <c r="D368" s="591"/>
      <c r="E368" s="678" t="s">
        <v>1006</v>
      </c>
      <c r="F368" s="591"/>
      <c r="G368" s="591"/>
      <c r="H368" s="586"/>
      <c r="I368" s="586"/>
      <c r="J368" s="587"/>
      <c r="K368" s="588"/>
      <c r="L368" s="588"/>
      <c r="M368" s="588"/>
      <c r="N368" s="588"/>
      <c r="O368" s="588"/>
      <c r="P368" s="588"/>
      <c r="Q368" s="588">
        <f>M368+X368</f>
        <v>0</v>
      </c>
      <c r="R368" s="588">
        <f>N368+Y368</f>
        <v>0</v>
      </c>
      <c r="S368" s="588">
        <v>1500</v>
      </c>
      <c r="T368" s="588">
        <v>1500</v>
      </c>
      <c r="U368" s="588"/>
      <c r="V368" s="588"/>
      <c r="W368" s="588"/>
      <c r="X368" s="588"/>
      <c r="Y368" s="588"/>
      <c r="Z368" s="588"/>
      <c r="AA368" s="588"/>
      <c r="AB368" s="588"/>
      <c r="AC368" s="588"/>
      <c r="AD368" s="588"/>
      <c r="AE368" s="588"/>
      <c r="AF368" s="588"/>
      <c r="AG368" s="588"/>
      <c r="AH368" s="588"/>
      <c r="AI368" s="588"/>
      <c r="AJ368" s="588"/>
      <c r="AK368" s="588"/>
      <c r="AL368" s="588">
        <f t="shared" si="423"/>
        <v>55</v>
      </c>
      <c r="AM368" s="588">
        <f t="shared" si="423"/>
        <v>55</v>
      </c>
      <c r="AN368" s="588">
        <f t="shared" si="423"/>
        <v>0</v>
      </c>
      <c r="AO368" s="588">
        <f t="shared" si="423"/>
        <v>0</v>
      </c>
      <c r="AP368" s="588">
        <f t="shared" si="425"/>
        <v>55</v>
      </c>
      <c r="AQ368" s="588">
        <v>55</v>
      </c>
      <c r="AR368" s="588"/>
      <c r="AS368" s="588"/>
      <c r="AT368" s="586"/>
      <c r="AU368" s="591">
        <f>AP368-AQ368</f>
        <v>0</v>
      </c>
      <c r="AV368" s="591">
        <f>V368-AA368</f>
        <v>0</v>
      </c>
      <c r="AW368" s="681"/>
      <c r="AX368" s="592"/>
      <c r="BG368" s="594">
        <f>AL368-AQ368</f>
        <v>0</v>
      </c>
    </row>
    <row r="369" spans="1:59" s="593" customFormat="1" ht="59.25" customHeight="1">
      <c r="A369" s="688">
        <v>6</v>
      </c>
      <c r="B369" s="693" t="s">
        <v>776</v>
      </c>
      <c r="C369" s="586" t="s">
        <v>359</v>
      </c>
      <c r="D369" s="586"/>
      <c r="E369" s="678" t="s">
        <v>1006</v>
      </c>
      <c r="F369" s="586"/>
      <c r="G369" s="586"/>
      <c r="H369" s="586"/>
      <c r="I369" s="586"/>
      <c r="J369" s="587"/>
      <c r="K369" s="588"/>
      <c r="L369" s="588"/>
      <c r="M369" s="588"/>
      <c r="N369" s="588"/>
      <c r="O369" s="588"/>
      <c r="P369" s="588"/>
      <c r="Q369" s="588">
        <f t="shared" ref="Q369:R370" si="426">M369+X369</f>
        <v>0</v>
      </c>
      <c r="R369" s="588">
        <f t="shared" si="426"/>
        <v>0</v>
      </c>
      <c r="S369" s="588">
        <v>2000</v>
      </c>
      <c r="T369" s="588">
        <v>2000</v>
      </c>
      <c r="U369" s="588"/>
      <c r="V369" s="588"/>
      <c r="W369" s="588"/>
      <c r="X369" s="588"/>
      <c r="Y369" s="588"/>
      <c r="Z369" s="588"/>
      <c r="AA369" s="588"/>
      <c r="AB369" s="588"/>
      <c r="AC369" s="588"/>
      <c r="AD369" s="588"/>
      <c r="AE369" s="588"/>
      <c r="AF369" s="588"/>
      <c r="AG369" s="588"/>
      <c r="AH369" s="588"/>
      <c r="AI369" s="588"/>
      <c r="AJ369" s="588"/>
      <c r="AK369" s="588"/>
      <c r="AL369" s="588">
        <f t="shared" si="423"/>
        <v>54</v>
      </c>
      <c r="AM369" s="588">
        <f t="shared" si="423"/>
        <v>54</v>
      </c>
      <c r="AN369" s="588">
        <f t="shared" si="423"/>
        <v>0</v>
      </c>
      <c r="AO369" s="588">
        <f t="shared" si="423"/>
        <v>0</v>
      </c>
      <c r="AP369" s="588">
        <f t="shared" si="425"/>
        <v>54</v>
      </c>
      <c r="AQ369" s="588">
        <v>54</v>
      </c>
      <c r="AR369" s="588"/>
      <c r="AS369" s="588"/>
      <c r="AT369" s="586"/>
      <c r="AU369" s="591">
        <f t="shared" si="398"/>
        <v>0</v>
      </c>
      <c r="AV369" s="591">
        <f t="shared" si="424"/>
        <v>0</v>
      </c>
      <c r="AW369" s="681"/>
      <c r="AX369" s="592"/>
      <c r="BG369" s="594">
        <f t="shared" si="400"/>
        <v>0</v>
      </c>
    </row>
    <row r="370" spans="1:59" s="593" customFormat="1" ht="59.25" customHeight="1">
      <c r="A370" s="688">
        <v>7</v>
      </c>
      <c r="B370" s="693" t="s">
        <v>643</v>
      </c>
      <c r="C370" s="678" t="s">
        <v>632</v>
      </c>
      <c r="D370" s="678"/>
      <c r="E370" s="678" t="s">
        <v>1006</v>
      </c>
      <c r="F370" s="678"/>
      <c r="G370" s="678"/>
      <c r="H370" s="586"/>
      <c r="I370" s="586"/>
      <c r="J370" s="587"/>
      <c r="K370" s="588"/>
      <c r="L370" s="588"/>
      <c r="M370" s="588"/>
      <c r="N370" s="588"/>
      <c r="O370" s="588"/>
      <c r="P370" s="588"/>
      <c r="Q370" s="588">
        <f t="shared" si="426"/>
        <v>0</v>
      </c>
      <c r="R370" s="588">
        <f t="shared" si="426"/>
        <v>0</v>
      </c>
      <c r="S370" s="588">
        <v>6397</v>
      </c>
      <c r="T370" s="588">
        <v>6397</v>
      </c>
      <c r="U370" s="588"/>
      <c r="V370" s="588"/>
      <c r="W370" s="588"/>
      <c r="X370" s="588"/>
      <c r="Y370" s="588"/>
      <c r="Z370" s="588"/>
      <c r="AA370" s="588"/>
      <c r="AB370" s="588"/>
      <c r="AC370" s="588"/>
      <c r="AD370" s="588"/>
      <c r="AE370" s="588"/>
      <c r="AF370" s="588"/>
      <c r="AG370" s="588"/>
      <c r="AH370" s="588"/>
      <c r="AI370" s="588"/>
      <c r="AJ370" s="588"/>
      <c r="AK370" s="588"/>
      <c r="AL370" s="588">
        <f t="shared" si="423"/>
        <v>50</v>
      </c>
      <c r="AM370" s="588">
        <f t="shared" si="423"/>
        <v>50</v>
      </c>
      <c r="AN370" s="588">
        <f t="shared" si="423"/>
        <v>0</v>
      </c>
      <c r="AO370" s="588">
        <f t="shared" si="423"/>
        <v>0</v>
      </c>
      <c r="AP370" s="588">
        <f t="shared" si="425"/>
        <v>50</v>
      </c>
      <c r="AQ370" s="588">
        <v>50</v>
      </c>
      <c r="AR370" s="588"/>
      <c r="AS370" s="588"/>
      <c r="AT370" s="586"/>
      <c r="AU370" s="591">
        <f t="shared" si="398"/>
        <v>0</v>
      </c>
      <c r="AV370" s="591">
        <f t="shared" si="424"/>
        <v>0</v>
      </c>
      <c r="AW370" s="681"/>
      <c r="AX370" s="592"/>
      <c r="BG370" s="594">
        <f t="shared" si="400"/>
        <v>0</v>
      </c>
    </row>
    <row r="371" spans="1:59" s="82" customFormat="1" ht="59.25" hidden="1" customHeight="1">
      <c r="A371" s="543"/>
      <c r="B371" s="700"/>
      <c r="C371" s="545"/>
      <c r="D371" s="545"/>
      <c r="E371" s="678" t="s">
        <v>1006</v>
      </c>
      <c r="F371" s="545"/>
      <c r="G371" s="545"/>
      <c r="H371" s="484"/>
      <c r="I371" s="553"/>
      <c r="J371" s="563"/>
      <c r="K371" s="496"/>
      <c r="L371" s="496"/>
      <c r="M371" s="496"/>
      <c r="N371" s="496"/>
      <c r="O371" s="496"/>
      <c r="P371" s="496"/>
      <c r="Q371" s="496"/>
      <c r="R371" s="496"/>
      <c r="S371" s="496"/>
      <c r="T371" s="496"/>
      <c r="U371" s="496"/>
      <c r="V371" s="496"/>
      <c r="W371" s="496"/>
      <c r="X371" s="496"/>
      <c r="Y371" s="496"/>
      <c r="Z371" s="496"/>
      <c r="AA371" s="496"/>
      <c r="AB371" s="496"/>
      <c r="AC371" s="496"/>
      <c r="AD371" s="496"/>
      <c r="AE371" s="496"/>
      <c r="AF371" s="496"/>
      <c r="AG371" s="496"/>
      <c r="AH371" s="482"/>
      <c r="AI371" s="482"/>
      <c r="AJ371" s="482"/>
      <c r="AK371" s="482"/>
      <c r="AL371" s="482"/>
      <c r="AM371" s="482"/>
      <c r="AN371" s="482"/>
      <c r="AO371" s="482"/>
      <c r="AP371" s="496"/>
      <c r="AQ371" s="496"/>
      <c r="AR371" s="496"/>
      <c r="AS371" s="496"/>
      <c r="AT371" s="494"/>
      <c r="AU371" s="484">
        <f t="shared" si="398"/>
        <v>0</v>
      </c>
      <c r="AV371" s="484"/>
      <c r="AW371" s="521"/>
      <c r="AX371" s="548"/>
      <c r="BG371" s="488">
        <f t="shared" si="400"/>
        <v>0</v>
      </c>
    </row>
    <row r="372" spans="1:59" s="82" customFormat="1" ht="59.25" customHeight="1">
      <c r="A372" s="533"/>
      <c r="B372" s="626" t="s">
        <v>485</v>
      </c>
      <c r="C372" s="550"/>
      <c r="D372" s="550"/>
      <c r="E372" s="678" t="s">
        <v>1006</v>
      </c>
      <c r="F372" s="550"/>
      <c r="G372" s="550"/>
      <c r="H372" s="494"/>
      <c r="I372" s="494"/>
      <c r="J372" s="495"/>
      <c r="K372" s="496"/>
      <c r="L372" s="496"/>
      <c r="M372" s="496"/>
      <c r="N372" s="496"/>
      <c r="O372" s="496"/>
      <c r="P372" s="496"/>
      <c r="Q372" s="496">
        <f t="shared" ref="Q372:Q390" si="427">M372+X372</f>
        <v>0</v>
      </c>
      <c r="R372" s="496">
        <f t="shared" ref="R372:R390" si="428">N372+Y372</f>
        <v>0</v>
      </c>
      <c r="S372" s="496"/>
      <c r="T372" s="496"/>
      <c r="U372" s="496"/>
      <c r="V372" s="496"/>
      <c r="W372" s="496"/>
      <c r="X372" s="496"/>
      <c r="Y372" s="496"/>
      <c r="Z372" s="496"/>
      <c r="AA372" s="496"/>
      <c r="AB372" s="496"/>
      <c r="AC372" s="496"/>
      <c r="AD372" s="496"/>
      <c r="AE372" s="496"/>
      <c r="AF372" s="496"/>
      <c r="AG372" s="496"/>
      <c r="AH372" s="482">
        <f t="shared" ref="AH372:AH390" si="429">X372+AB372</f>
        <v>0</v>
      </c>
      <c r="AI372" s="482">
        <f t="shared" ref="AI372:AI390" si="430">Y372+AC372</f>
        <v>0</v>
      </c>
      <c r="AJ372" s="482"/>
      <c r="AK372" s="482"/>
      <c r="AL372" s="482">
        <f t="shared" si="375"/>
        <v>0</v>
      </c>
      <c r="AM372" s="482">
        <f t="shared" si="376"/>
        <v>0</v>
      </c>
      <c r="AN372" s="482">
        <f t="shared" si="377"/>
        <v>0</v>
      </c>
      <c r="AO372" s="482">
        <f t="shared" si="378"/>
        <v>0</v>
      </c>
      <c r="AP372" s="496"/>
      <c r="AQ372" s="496"/>
      <c r="AR372" s="496"/>
      <c r="AS372" s="496"/>
      <c r="AT372" s="494"/>
      <c r="AU372" s="484">
        <f t="shared" si="398"/>
        <v>0</v>
      </c>
      <c r="AV372" s="484">
        <f t="shared" ref="AV372:AV393" si="431">V372-AA372</f>
        <v>0</v>
      </c>
      <c r="AW372" s="521"/>
      <c r="AX372" s="548"/>
      <c r="BG372" s="488">
        <f t="shared" si="400"/>
        <v>0</v>
      </c>
    </row>
    <row r="373" spans="1:59" s="82" customFormat="1" ht="59.25" customHeight="1">
      <c r="A373" s="484" t="s">
        <v>639</v>
      </c>
      <c r="B373" s="700" t="s">
        <v>640</v>
      </c>
      <c r="C373" s="545"/>
      <c r="D373" s="545"/>
      <c r="E373" s="545"/>
      <c r="F373" s="545"/>
      <c r="G373" s="545"/>
      <c r="H373" s="494"/>
      <c r="I373" s="494"/>
      <c r="J373" s="495"/>
      <c r="K373" s="496"/>
      <c r="L373" s="496"/>
      <c r="M373" s="496"/>
      <c r="N373" s="496"/>
      <c r="O373" s="496"/>
      <c r="P373" s="496"/>
      <c r="Q373" s="496">
        <f t="shared" si="427"/>
        <v>0</v>
      </c>
      <c r="R373" s="496">
        <f t="shared" si="428"/>
        <v>0</v>
      </c>
      <c r="S373" s="496"/>
      <c r="T373" s="496"/>
      <c r="U373" s="496"/>
      <c r="V373" s="496"/>
      <c r="W373" s="496"/>
      <c r="X373" s="496"/>
      <c r="Y373" s="496"/>
      <c r="Z373" s="496"/>
      <c r="AA373" s="496"/>
      <c r="AB373" s="496"/>
      <c r="AC373" s="496"/>
      <c r="AD373" s="496"/>
      <c r="AE373" s="496"/>
      <c r="AF373" s="496"/>
      <c r="AG373" s="496"/>
      <c r="AH373" s="482">
        <f t="shared" si="429"/>
        <v>0</v>
      </c>
      <c r="AI373" s="482">
        <f t="shared" si="430"/>
        <v>0</v>
      </c>
      <c r="AJ373" s="482"/>
      <c r="AK373" s="482"/>
      <c r="AL373" s="482">
        <f t="shared" si="375"/>
        <v>0</v>
      </c>
      <c r="AM373" s="482">
        <f t="shared" si="376"/>
        <v>0</v>
      </c>
      <c r="AN373" s="482">
        <f t="shared" si="377"/>
        <v>0</v>
      </c>
      <c r="AO373" s="482">
        <f t="shared" si="378"/>
        <v>0</v>
      </c>
      <c r="AP373" s="496"/>
      <c r="AQ373" s="496"/>
      <c r="AR373" s="496"/>
      <c r="AS373" s="496"/>
      <c r="AT373" s="494"/>
      <c r="AU373" s="484">
        <f t="shared" si="398"/>
        <v>0</v>
      </c>
      <c r="AV373" s="484">
        <f t="shared" si="431"/>
        <v>0</v>
      </c>
      <c r="AW373" s="521"/>
      <c r="AX373" s="548"/>
      <c r="BG373" s="488">
        <f t="shared" si="400"/>
        <v>0</v>
      </c>
    </row>
    <row r="374" spans="1:59" s="82" customFormat="1" ht="59.25" customHeight="1">
      <c r="A374" s="484">
        <v>11</v>
      </c>
      <c r="B374" s="700" t="s">
        <v>641</v>
      </c>
      <c r="C374" s="484" t="s">
        <v>626</v>
      </c>
      <c r="D374" s="484"/>
      <c r="E374" s="484"/>
      <c r="F374" s="484"/>
      <c r="G374" s="484"/>
      <c r="H374" s="494"/>
      <c r="I374" s="494"/>
      <c r="J374" s="495"/>
      <c r="K374" s="496"/>
      <c r="L374" s="496"/>
      <c r="M374" s="496"/>
      <c r="N374" s="496"/>
      <c r="O374" s="496"/>
      <c r="P374" s="496"/>
      <c r="Q374" s="496">
        <f t="shared" si="427"/>
        <v>0</v>
      </c>
      <c r="R374" s="496">
        <f t="shared" si="428"/>
        <v>0</v>
      </c>
      <c r="S374" s="496">
        <v>500</v>
      </c>
      <c r="T374" s="496">
        <v>500</v>
      </c>
      <c r="U374" s="496"/>
      <c r="V374" s="496"/>
      <c r="W374" s="496"/>
      <c r="X374" s="496"/>
      <c r="Y374" s="496"/>
      <c r="Z374" s="496"/>
      <c r="AA374" s="496"/>
      <c r="AB374" s="496"/>
      <c r="AC374" s="496"/>
      <c r="AD374" s="496"/>
      <c r="AE374" s="496"/>
      <c r="AF374" s="496"/>
      <c r="AG374" s="496"/>
      <c r="AH374" s="482">
        <f t="shared" si="429"/>
        <v>0</v>
      </c>
      <c r="AI374" s="482">
        <f t="shared" si="430"/>
        <v>0</v>
      </c>
      <c r="AJ374" s="482"/>
      <c r="AK374" s="482"/>
      <c r="AL374" s="482">
        <f t="shared" si="375"/>
        <v>0</v>
      </c>
      <c r="AM374" s="482">
        <f t="shared" si="376"/>
        <v>0</v>
      </c>
      <c r="AN374" s="482">
        <f t="shared" si="377"/>
        <v>0</v>
      </c>
      <c r="AO374" s="482">
        <f t="shared" si="378"/>
        <v>0</v>
      </c>
      <c r="AP374" s="496"/>
      <c r="AQ374" s="496"/>
      <c r="AR374" s="496"/>
      <c r="AS374" s="496"/>
      <c r="AT374" s="494"/>
      <c r="AU374" s="484">
        <f t="shared" si="398"/>
        <v>0</v>
      </c>
      <c r="AV374" s="484">
        <f t="shared" si="431"/>
        <v>0</v>
      </c>
      <c r="AW374" s="521"/>
      <c r="AX374" s="548"/>
      <c r="BG374" s="488">
        <f t="shared" si="400"/>
        <v>0</v>
      </c>
    </row>
    <row r="375" spans="1:59" s="82" customFormat="1" ht="59.25" customHeight="1">
      <c r="A375" s="484"/>
      <c r="B375" s="626" t="s">
        <v>565</v>
      </c>
      <c r="C375" s="484"/>
      <c r="D375" s="484"/>
      <c r="E375" s="484"/>
      <c r="F375" s="484"/>
      <c r="G375" s="484"/>
      <c r="H375" s="494"/>
      <c r="I375" s="494"/>
      <c r="J375" s="495"/>
      <c r="K375" s="496"/>
      <c r="L375" s="496"/>
      <c r="M375" s="496"/>
      <c r="N375" s="496"/>
      <c r="O375" s="496"/>
      <c r="P375" s="496"/>
      <c r="Q375" s="496">
        <f t="shared" si="427"/>
        <v>0</v>
      </c>
      <c r="R375" s="496">
        <f t="shared" si="428"/>
        <v>0</v>
      </c>
      <c r="S375" s="496"/>
      <c r="T375" s="496"/>
      <c r="U375" s="496"/>
      <c r="V375" s="496"/>
      <c r="W375" s="496"/>
      <c r="X375" s="496"/>
      <c r="Y375" s="496"/>
      <c r="Z375" s="496"/>
      <c r="AA375" s="496"/>
      <c r="AB375" s="496"/>
      <c r="AC375" s="496"/>
      <c r="AD375" s="496"/>
      <c r="AE375" s="496"/>
      <c r="AF375" s="496"/>
      <c r="AG375" s="496"/>
      <c r="AH375" s="482">
        <f t="shared" si="429"/>
        <v>0</v>
      </c>
      <c r="AI375" s="482">
        <f t="shared" si="430"/>
        <v>0</v>
      </c>
      <c r="AJ375" s="482"/>
      <c r="AK375" s="482"/>
      <c r="AL375" s="482">
        <f t="shared" si="375"/>
        <v>0</v>
      </c>
      <c r="AM375" s="482">
        <f t="shared" si="376"/>
        <v>0</v>
      </c>
      <c r="AN375" s="482">
        <f t="shared" si="377"/>
        <v>0</v>
      </c>
      <c r="AO375" s="482">
        <f t="shared" si="378"/>
        <v>0</v>
      </c>
      <c r="AP375" s="496"/>
      <c r="AQ375" s="496"/>
      <c r="AR375" s="496"/>
      <c r="AS375" s="496"/>
      <c r="AT375" s="494"/>
      <c r="AU375" s="484">
        <f t="shared" si="398"/>
        <v>0</v>
      </c>
      <c r="AV375" s="484">
        <f t="shared" si="431"/>
        <v>0</v>
      </c>
      <c r="AW375" s="521"/>
      <c r="AX375" s="548"/>
      <c r="BG375" s="488">
        <f t="shared" si="400"/>
        <v>0</v>
      </c>
    </row>
    <row r="376" spans="1:59" s="82" customFormat="1" ht="59.25" customHeight="1">
      <c r="A376" s="553" t="s">
        <v>639</v>
      </c>
      <c r="B376" s="700" t="s">
        <v>642</v>
      </c>
      <c r="C376" s="545"/>
      <c r="D376" s="545"/>
      <c r="E376" s="545"/>
      <c r="F376" s="545"/>
      <c r="G376" s="545"/>
      <c r="H376" s="494"/>
      <c r="I376" s="494"/>
      <c r="J376" s="495"/>
      <c r="K376" s="496"/>
      <c r="L376" s="496"/>
      <c r="M376" s="496"/>
      <c r="N376" s="496"/>
      <c r="O376" s="496"/>
      <c r="P376" s="496"/>
      <c r="Q376" s="496">
        <f t="shared" si="427"/>
        <v>0</v>
      </c>
      <c r="R376" s="496">
        <f t="shared" si="428"/>
        <v>0</v>
      </c>
      <c r="S376" s="496"/>
      <c r="T376" s="496"/>
      <c r="U376" s="496"/>
      <c r="V376" s="496"/>
      <c r="W376" s="496"/>
      <c r="X376" s="496"/>
      <c r="Y376" s="496"/>
      <c r="Z376" s="496"/>
      <c r="AA376" s="496"/>
      <c r="AB376" s="496"/>
      <c r="AC376" s="496"/>
      <c r="AD376" s="496"/>
      <c r="AE376" s="496"/>
      <c r="AF376" s="496"/>
      <c r="AG376" s="496"/>
      <c r="AH376" s="482">
        <f t="shared" si="429"/>
        <v>0</v>
      </c>
      <c r="AI376" s="482">
        <f t="shared" si="430"/>
        <v>0</v>
      </c>
      <c r="AJ376" s="482"/>
      <c r="AK376" s="482"/>
      <c r="AL376" s="482">
        <f t="shared" si="375"/>
        <v>0</v>
      </c>
      <c r="AM376" s="482">
        <f t="shared" si="376"/>
        <v>0</v>
      </c>
      <c r="AN376" s="482">
        <f t="shared" si="377"/>
        <v>0</v>
      </c>
      <c r="AO376" s="482">
        <f t="shared" si="378"/>
        <v>0</v>
      </c>
      <c r="AP376" s="496"/>
      <c r="AQ376" s="496"/>
      <c r="AR376" s="496"/>
      <c r="AS376" s="496"/>
      <c r="AT376" s="494"/>
      <c r="AU376" s="484">
        <f t="shared" si="398"/>
        <v>0</v>
      </c>
      <c r="AV376" s="484">
        <f t="shared" si="431"/>
        <v>0</v>
      </c>
      <c r="AW376" s="521"/>
      <c r="AX376" s="548"/>
      <c r="BG376" s="488">
        <f t="shared" si="400"/>
        <v>0</v>
      </c>
    </row>
    <row r="377" spans="1:59" s="82" customFormat="1" ht="59.25" customHeight="1">
      <c r="A377" s="543">
        <v>6</v>
      </c>
      <c r="B377" s="700" t="s">
        <v>746</v>
      </c>
      <c r="C377" s="494" t="s">
        <v>632</v>
      </c>
      <c r="D377" s="494"/>
      <c r="E377" s="494"/>
      <c r="F377" s="494"/>
      <c r="G377" s="494"/>
      <c r="H377" s="494"/>
      <c r="I377" s="494"/>
      <c r="J377" s="495"/>
      <c r="K377" s="496"/>
      <c r="L377" s="496"/>
      <c r="M377" s="496"/>
      <c r="N377" s="496"/>
      <c r="O377" s="496"/>
      <c r="P377" s="496"/>
      <c r="Q377" s="496">
        <f t="shared" si="427"/>
        <v>0</v>
      </c>
      <c r="R377" s="496">
        <f t="shared" si="428"/>
        <v>0</v>
      </c>
      <c r="S377" s="496">
        <v>1000</v>
      </c>
      <c r="T377" s="496">
        <v>1000</v>
      </c>
      <c r="U377" s="496"/>
      <c r="V377" s="496"/>
      <c r="W377" s="496"/>
      <c r="X377" s="496"/>
      <c r="Y377" s="496"/>
      <c r="Z377" s="496"/>
      <c r="AA377" s="496"/>
      <c r="AB377" s="496"/>
      <c r="AC377" s="496"/>
      <c r="AD377" s="496"/>
      <c r="AE377" s="496"/>
      <c r="AF377" s="496"/>
      <c r="AG377" s="496"/>
      <c r="AH377" s="496">
        <f>X377+AB377</f>
        <v>0</v>
      </c>
      <c r="AI377" s="496">
        <f>Y377+AC377</f>
        <v>0</v>
      </c>
      <c r="AJ377" s="496"/>
      <c r="AK377" s="496"/>
      <c r="AL377" s="496">
        <f>AP377</f>
        <v>126</v>
      </c>
      <c r="AM377" s="496">
        <f>AQ377</f>
        <v>126</v>
      </c>
      <c r="AN377" s="496">
        <f>AR377</f>
        <v>0</v>
      </c>
      <c r="AO377" s="496">
        <f>AS377</f>
        <v>0</v>
      </c>
      <c r="AP377" s="496">
        <f>AQ377</f>
        <v>126</v>
      </c>
      <c r="AQ377" s="496">
        <v>126</v>
      </c>
      <c r="AR377" s="496"/>
      <c r="AS377" s="496"/>
      <c r="AT377" s="494"/>
      <c r="AU377" s="484">
        <f>AP377-AQ377</f>
        <v>0</v>
      </c>
      <c r="AV377" s="484">
        <f>V377-AA377</f>
        <v>0</v>
      </c>
      <c r="AW377" s="521"/>
      <c r="AX377" s="548">
        <f>T377</f>
        <v>1000</v>
      </c>
      <c r="AY377" s="82">
        <f>T377-AX377</f>
        <v>0</v>
      </c>
      <c r="BD377" s="82">
        <v>1</v>
      </c>
      <c r="BE377" s="82">
        <v>1</v>
      </c>
      <c r="BF377" s="82">
        <f>AQ377</f>
        <v>126</v>
      </c>
      <c r="BG377" s="488">
        <f t="shared" si="400"/>
        <v>0</v>
      </c>
    </row>
    <row r="378" spans="1:59" s="82" customFormat="1" ht="59.25" customHeight="1">
      <c r="A378" s="484">
        <v>14</v>
      </c>
      <c r="B378" s="700" t="s">
        <v>644</v>
      </c>
      <c r="C378" s="553" t="s">
        <v>632</v>
      </c>
      <c r="D378" s="553"/>
      <c r="E378" s="553"/>
      <c r="F378" s="553"/>
      <c r="G378" s="553"/>
      <c r="H378" s="494"/>
      <c r="I378" s="494"/>
      <c r="J378" s="495"/>
      <c r="K378" s="496"/>
      <c r="L378" s="496"/>
      <c r="M378" s="496"/>
      <c r="N378" s="496"/>
      <c r="O378" s="496"/>
      <c r="P378" s="496"/>
      <c r="Q378" s="496">
        <f t="shared" si="427"/>
        <v>0</v>
      </c>
      <c r="R378" s="496">
        <f t="shared" si="428"/>
        <v>0</v>
      </c>
      <c r="S378" s="496">
        <v>500</v>
      </c>
      <c r="T378" s="496">
        <v>500</v>
      </c>
      <c r="U378" s="496"/>
      <c r="V378" s="496"/>
      <c r="W378" s="496"/>
      <c r="X378" s="496"/>
      <c r="Y378" s="496"/>
      <c r="Z378" s="496"/>
      <c r="AA378" s="496"/>
      <c r="AB378" s="496"/>
      <c r="AC378" s="496"/>
      <c r="AD378" s="496"/>
      <c r="AE378" s="496"/>
      <c r="AF378" s="496"/>
      <c r="AG378" s="496"/>
      <c r="AH378" s="482">
        <f t="shared" si="429"/>
        <v>0</v>
      </c>
      <c r="AI378" s="482">
        <f t="shared" si="430"/>
        <v>0</v>
      </c>
      <c r="AJ378" s="482"/>
      <c r="AK378" s="482"/>
      <c r="AL378" s="482">
        <f t="shared" ref="AL378:AL390" si="432">AP378</f>
        <v>0</v>
      </c>
      <c r="AM378" s="482">
        <f t="shared" ref="AM378:AM390" si="433">AQ378</f>
        <v>0</v>
      </c>
      <c r="AN378" s="482">
        <f t="shared" ref="AN378:AN390" si="434">AR378</f>
        <v>0</v>
      </c>
      <c r="AO378" s="482">
        <f t="shared" ref="AO378:AO390" si="435">AS378</f>
        <v>0</v>
      </c>
      <c r="AP378" s="496"/>
      <c r="AQ378" s="496"/>
      <c r="AR378" s="496"/>
      <c r="AS378" s="496"/>
      <c r="AT378" s="494"/>
      <c r="AU378" s="484">
        <f t="shared" si="398"/>
        <v>0</v>
      </c>
      <c r="AV378" s="484">
        <f t="shared" si="431"/>
        <v>0</v>
      </c>
      <c r="AW378" s="521"/>
      <c r="AX378" s="548"/>
      <c r="BG378" s="488">
        <f t="shared" si="400"/>
        <v>0</v>
      </c>
    </row>
    <row r="379" spans="1:59" s="82" customFormat="1" ht="59.25" customHeight="1">
      <c r="A379" s="553" t="s">
        <v>639</v>
      </c>
      <c r="B379" s="700" t="s">
        <v>645</v>
      </c>
      <c r="C379" s="494"/>
      <c r="D379" s="494"/>
      <c r="E379" s="494"/>
      <c r="F379" s="494"/>
      <c r="G379" s="494"/>
      <c r="H379" s="494"/>
      <c r="I379" s="494"/>
      <c r="J379" s="495"/>
      <c r="K379" s="496"/>
      <c r="L379" s="496"/>
      <c r="M379" s="496"/>
      <c r="N379" s="496"/>
      <c r="O379" s="496"/>
      <c r="P379" s="496"/>
      <c r="Q379" s="496">
        <f t="shared" si="427"/>
        <v>0</v>
      </c>
      <c r="R379" s="496">
        <f t="shared" si="428"/>
        <v>0</v>
      </c>
      <c r="S379" s="496"/>
      <c r="T379" s="496"/>
      <c r="U379" s="496"/>
      <c r="V379" s="496"/>
      <c r="W379" s="496"/>
      <c r="X379" s="496"/>
      <c r="Y379" s="496"/>
      <c r="Z379" s="496"/>
      <c r="AA379" s="496"/>
      <c r="AB379" s="496"/>
      <c r="AC379" s="496"/>
      <c r="AD379" s="496"/>
      <c r="AE379" s="496"/>
      <c r="AF379" s="496"/>
      <c r="AG379" s="496"/>
      <c r="AH379" s="482">
        <f t="shared" si="429"/>
        <v>0</v>
      </c>
      <c r="AI379" s="482">
        <f t="shared" si="430"/>
        <v>0</v>
      </c>
      <c r="AJ379" s="482"/>
      <c r="AK379" s="482"/>
      <c r="AL379" s="482">
        <f t="shared" si="432"/>
        <v>0</v>
      </c>
      <c r="AM379" s="482">
        <f t="shared" si="433"/>
        <v>0</v>
      </c>
      <c r="AN379" s="482">
        <f t="shared" si="434"/>
        <v>0</v>
      </c>
      <c r="AO379" s="482">
        <f t="shared" si="435"/>
        <v>0</v>
      </c>
      <c r="AP379" s="496"/>
      <c r="AQ379" s="496"/>
      <c r="AR379" s="496"/>
      <c r="AS379" s="496"/>
      <c r="AT379" s="494"/>
      <c r="AU379" s="484">
        <f t="shared" si="398"/>
        <v>0</v>
      </c>
      <c r="AV379" s="484">
        <f t="shared" si="431"/>
        <v>0</v>
      </c>
      <c r="AW379" s="521"/>
      <c r="AX379" s="548"/>
      <c r="BG379" s="488">
        <f t="shared" si="400"/>
        <v>0</v>
      </c>
    </row>
    <row r="380" spans="1:59" s="82" customFormat="1" ht="59.25" customHeight="1">
      <c r="A380" s="484">
        <v>17</v>
      </c>
      <c r="B380" s="700" t="s">
        <v>641</v>
      </c>
      <c r="C380" s="553" t="s">
        <v>632</v>
      </c>
      <c r="D380" s="553"/>
      <c r="E380" s="553"/>
      <c r="F380" s="553"/>
      <c r="G380" s="553"/>
      <c r="H380" s="494"/>
      <c r="I380" s="494"/>
      <c r="J380" s="495"/>
      <c r="K380" s="496"/>
      <c r="L380" s="496"/>
      <c r="M380" s="496"/>
      <c r="N380" s="496"/>
      <c r="O380" s="496"/>
      <c r="P380" s="496"/>
      <c r="Q380" s="496">
        <f t="shared" si="427"/>
        <v>0</v>
      </c>
      <c r="R380" s="496">
        <f t="shared" si="428"/>
        <v>0</v>
      </c>
      <c r="S380" s="496">
        <v>500</v>
      </c>
      <c r="T380" s="496">
        <v>500</v>
      </c>
      <c r="U380" s="496"/>
      <c r="V380" s="496"/>
      <c r="W380" s="496"/>
      <c r="X380" s="496"/>
      <c r="Y380" s="496"/>
      <c r="Z380" s="496"/>
      <c r="AA380" s="496"/>
      <c r="AB380" s="496"/>
      <c r="AC380" s="496"/>
      <c r="AD380" s="496"/>
      <c r="AE380" s="496"/>
      <c r="AF380" s="496"/>
      <c r="AG380" s="496"/>
      <c r="AH380" s="482">
        <f t="shared" si="429"/>
        <v>0</v>
      </c>
      <c r="AI380" s="482">
        <f t="shared" si="430"/>
        <v>0</v>
      </c>
      <c r="AJ380" s="482"/>
      <c r="AK380" s="482"/>
      <c r="AL380" s="482">
        <f t="shared" si="432"/>
        <v>0</v>
      </c>
      <c r="AM380" s="482">
        <f t="shared" si="433"/>
        <v>0</v>
      </c>
      <c r="AN380" s="482">
        <f t="shared" si="434"/>
        <v>0</v>
      </c>
      <c r="AO380" s="482">
        <f t="shared" si="435"/>
        <v>0</v>
      </c>
      <c r="AP380" s="496"/>
      <c r="AQ380" s="496"/>
      <c r="AR380" s="496"/>
      <c r="AS380" s="496"/>
      <c r="AT380" s="494"/>
      <c r="AU380" s="484">
        <f t="shared" si="398"/>
        <v>0</v>
      </c>
      <c r="AV380" s="484">
        <f t="shared" si="431"/>
        <v>0</v>
      </c>
      <c r="AW380" s="521"/>
      <c r="AX380" s="548"/>
      <c r="BG380" s="488">
        <f t="shared" si="400"/>
        <v>0</v>
      </c>
    </row>
    <row r="381" spans="1:59" s="82" customFormat="1" ht="59.25" customHeight="1">
      <c r="A381" s="549"/>
      <c r="B381" s="701" t="s">
        <v>360</v>
      </c>
      <c r="C381" s="480"/>
      <c r="D381" s="480"/>
      <c r="E381" s="480"/>
      <c r="F381" s="480"/>
      <c r="G381" s="480"/>
      <c r="H381" s="494"/>
      <c r="I381" s="494"/>
      <c r="J381" s="495"/>
      <c r="K381" s="496"/>
      <c r="L381" s="496"/>
      <c r="M381" s="496"/>
      <c r="N381" s="496"/>
      <c r="O381" s="496"/>
      <c r="P381" s="496"/>
      <c r="Q381" s="496">
        <f t="shared" si="427"/>
        <v>0</v>
      </c>
      <c r="R381" s="496">
        <f t="shared" si="428"/>
        <v>0</v>
      </c>
      <c r="S381" s="496"/>
      <c r="T381" s="496"/>
      <c r="U381" s="496"/>
      <c r="V381" s="496"/>
      <c r="W381" s="496"/>
      <c r="X381" s="496"/>
      <c r="Y381" s="496"/>
      <c r="Z381" s="496"/>
      <c r="AA381" s="496"/>
      <c r="AB381" s="496"/>
      <c r="AC381" s="496"/>
      <c r="AD381" s="496"/>
      <c r="AE381" s="496"/>
      <c r="AF381" s="496"/>
      <c r="AG381" s="496"/>
      <c r="AH381" s="482">
        <f t="shared" si="429"/>
        <v>0</v>
      </c>
      <c r="AI381" s="482">
        <f t="shared" si="430"/>
        <v>0</v>
      </c>
      <c r="AJ381" s="482"/>
      <c r="AK381" s="482"/>
      <c r="AL381" s="482">
        <f t="shared" si="432"/>
        <v>0</v>
      </c>
      <c r="AM381" s="482">
        <f t="shared" si="433"/>
        <v>0</v>
      </c>
      <c r="AN381" s="482">
        <f t="shared" si="434"/>
        <v>0</v>
      </c>
      <c r="AO381" s="482">
        <f t="shared" si="435"/>
        <v>0</v>
      </c>
      <c r="AP381" s="496"/>
      <c r="AQ381" s="496"/>
      <c r="AR381" s="496"/>
      <c r="AS381" s="496"/>
      <c r="AT381" s="494"/>
      <c r="AU381" s="484">
        <f t="shared" si="398"/>
        <v>0</v>
      </c>
      <c r="AV381" s="484">
        <f t="shared" si="431"/>
        <v>0</v>
      </c>
      <c r="AW381" s="521"/>
      <c r="AX381" s="548"/>
      <c r="BG381" s="488">
        <f t="shared" si="400"/>
        <v>0</v>
      </c>
    </row>
    <row r="382" spans="1:59" s="82" customFormat="1" ht="59.25" customHeight="1">
      <c r="A382" s="553" t="s">
        <v>639</v>
      </c>
      <c r="B382" s="700" t="s">
        <v>646</v>
      </c>
      <c r="C382" s="494" t="s">
        <v>359</v>
      </c>
      <c r="D382" s="494"/>
      <c r="E382" s="494"/>
      <c r="F382" s="494"/>
      <c r="G382" s="494"/>
      <c r="H382" s="494"/>
      <c r="I382" s="494"/>
      <c r="J382" s="495"/>
      <c r="K382" s="496"/>
      <c r="L382" s="496"/>
      <c r="M382" s="496"/>
      <c r="N382" s="496"/>
      <c r="O382" s="496"/>
      <c r="P382" s="496"/>
      <c r="Q382" s="496">
        <f t="shared" si="427"/>
        <v>0</v>
      </c>
      <c r="R382" s="496">
        <f t="shared" si="428"/>
        <v>0</v>
      </c>
      <c r="S382" s="496"/>
      <c r="T382" s="496"/>
      <c r="U382" s="496"/>
      <c r="V382" s="496"/>
      <c r="W382" s="496"/>
      <c r="X382" s="496"/>
      <c r="Y382" s="496"/>
      <c r="Z382" s="496"/>
      <c r="AA382" s="496"/>
      <c r="AB382" s="496"/>
      <c r="AC382" s="496"/>
      <c r="AD382" s="496"/>
      <c r="AE382" s="496"/>
      <c r="AF382" s="496"/>
      <c r="AG382" s="496"/>
      <c r="AH382" s="482">
        <f t="shared" si="429"/>
        <v>0</v>
      </c>
      <c r="AI382" s="482">
        <f t="shared" si="430"/>
        <v>0</v>
      </c>
      <c r="AJ382" s="482"/>
      <c r="AK382" s="482"/>
      <c r="AL382" s="482">
        <f t="shared" si="432"/>
        <v>0</v>
      </c>
      <c r="AM382" s="482">
        <f t="shared" si="433"/>
        <v>0</v>
      </c>
      <c r="AN382" s="482">
        <f t="shared" si="434"/>
        <v>0</v>
      </c>
      <c r="AO382" s="482">
        <f t="shared" si="435"/>
        <v>0</v>
      </c>
      <c r="AP382" s="496"/>
      <c r="AQ382" s="496"/>
      <c r="AR382" s="496"/>
      <c r="AS382" s="496"/>
      <c r="AT382" s="494"/>
      <c r="AU382" s="484">
        <f t="shared" si="398"/>
        <v>0</v>
      </c>
      <c r="AV382" s="484">
        <f t="shared" si="431"/>
        <v>0</v>
      </c>
      <c r="AW382" s="521"/>
      <c r="AX382" s="548"/>
      <c r="BG382" s="488">
        <f t="shared" si="400"/>
        <v>0</v>
      </c>
    </row>
    <row r="383" spans="1:59" s="82" customFormat="1" ht="59.25" customHeight="1">
      <c r="A383" s="543">
        <v>4</v>
      </c>
      <c r="B383" s="700" t="s">
        <v>777</v>
      </c>
      <c r="C383" s="494" t="s">
        <v>359</v>
      </c>
      <c r="D383" s="494"/>
      <c r="E383" s="494"/>
      <c r="F383" s="494"/>
      <c r="G383" s="494"/>
      <c r="H383" s="494"/>
      <c r="I383" s="494"/>
      <c r="J383" s="495"/>
      <c r="K383" s="496"/>
      <c r="L383" s="496"/>
      <c r="M383" s="496"/>
      <c r="N383" s="496"/>
      <c r="O383" s="496"/>
      <c r="P383" s="496"/>
      <c r="Q383" s="496">
        <f t="shared" si="427"/>
        <v>0</v>
      </c>
      <c r="R383" s="496">
        <f t="shared" si="428"/>
        <v>0</v>
      </c>
      <c r="S383" s="496">
        <v>1500</v>
      </c>
      <c r="T383" s="496">
        <v>1500</v>
      </c>
      <c r="U383" s="496"/>
      <c r="V383" s="496"/>
      <c r="W383" s="496"/>
      <c r="X383" s="496"/>
      <c r="Y383" s="496"/>
      <c r="Z383" s="496"/>
      <c r="AA383" s="496"/>
      <c r="AB383" s="496"/>
      <c r="AC383" s="496"/>
      <c r="AD383" s="496"/>
      <c r="AE383" s="496"/>
      <c r="AF383" s="496"/>
      <c r="AG383" s="496"/>
      <c r="AH383" s="496">
        <f>X383+AB383</f>
        <v>0</v>
      </c>
      <c r="AI383" s="496">
        <f>Y383+AC383</f>
        <v>0</v>
      </c>
      <c r="AJ383" s="496"/>
      <c r="AK383" s="496"/>
      <c r="AL383" s="496">
        <f>AP383</f>
        <v>0</v>
      </c>
      <c r="AM383" s="496">
        <f>AQ383</f>
        <v>0</v>
      </c>
      <c r="AN383" s="496">
        <f>AR383</f>
        <v>0</v>
      </c>
      <c r="AO383" s="496">
        <f>AS383</f>
        <v>0</v>
      </c>
      <c r="AP383" s="496">
        <f>AQ383</f>
        <v>0</v>
      </c>
      <c r="AQ383" s="496"/>
      <c r="AR383" s="496"/>
      <c r="AS383" s="496"/>
      <c r="AT383" s="494"/>
      <c r="AU383" s="484">
        <f>AP383-AQ383</f>
        <v>0</v>
      </c>
      <c r="AV383" s="484">
        <f>V383-AA383</f>
        <v>0</v>
      </c>
      <c r="AW383" s="521"/>
      <c r="AX383" s="548">
        <f>T383</f>
        <v>1500</v>
      </c>
      <c r="AY383" s="82">
        <f>T383-AX383</f>
        <v>0</v>
      </c>
      <c r="BF383" s="82">
        <f>AQ383</f>
        <v>0</v>
      </c>
      <c r="BG383" s="488">
        <f t="shared" si="400"/>
        <v>0</v>
      </c>
    </row>
    <row r="384" spans="1:59" s="82" customFormat="1" ht="59.25" customHeight="1">
      <c r="A384" s="484">
        <v>19</v>
      </c>
      <c r="B384" s="700" t="s">
        <v>641</v>
      </c>
      <c r="C384" s="494" t="s">
        <v>359</v>
      </c>
      <c r="D384" s="494"/>
      <c r="E384" s="494"/>
      <c r="F384" s="494"/>
      <c r="G384" s="494"/>
      <c r="H384" s="494"/>
      <c r="I384" s="494"/>
      <c r="J384" s="495"/>
      <c r="K384" s="496"/>
      <c r="L384" s="496"/>
      <c r="M384" s="496"/>
      <c r="N384" s="496"/>
      <c r="O384" s="496"/>
      <c r="P384" s="496"/>
      <c r="Q384" s="496">
        <f t="shared" si="427"/>
        <v>0</v>
      </c>
      <c r="R384" s="496">
        <f t="shared" si="428"/>
        <v>0</v>
      </c>
      <c r="S384" s="496">
        <v>500</v>
      </c>
      <c r="T384" s="496">
        <v>500</v>
      </c>
      <c r="U384" s="496"/>
      <c r="V384" s="496"/>
      <c r="W384" s="496"/>
      <c r="X384" s="496"/>
      <c r="Y384" s="496"/>
      <c r="Z384" s="496"/>
      <c r="AA384" s="496"/>
      <c r="AB384" s="496"/>
      <c r="AC384" s="496"/>
      <c r="AD384" s="496"/>
      <c r="AE384" s="496"/>
      <c r="AF384" s="496"/>
      <c r="AG384" s="496"/>
      <c r="AH384" s="482">
        <f t="shared" si="429"/>
        <v>0</v>
      </c>
      <c r="AI384" s="482">
        <f t="shared" si="430"/>
        <v>0</v>
      </c>
      <c r="AJ384" s="482"/>
      <c r="AK384" s="482"/>
      <c r="AL384" s="482">
        <f t="shared" si="432"/>
        <v>0</v>
      </c>
      <c r="AM384" s="482">
        <f t="shared" si="433"/>
        <v>0</v>
      </c>
      <c r="AN384" s="482">
        <f t="shared" si="434"/>
        <v>0</v>
      </c>
      <c r="AO384" s="482">
        <f t="shared" si="435"/>
        <v>0</v>
      </c>
      <c r="AP384" s="496"/>
      <c r="AQ384" s="496"/>
      <c r="AR384" s="496"/>
      <c r="AS384" s="496"/>
      <c r="AT384" s="494"/>
      <c r="AU384" s="484">
        <f t="shared" si="398"/>
        <v>0</v>
      </c>
      <c r="AV384" s="484">
        <f t="shared" si="431"/>
        <v>0</v>
      </c>
      <c r="AW384" s="521"/>
      <c r="AX384" s="548"/>
      <c r="BG384" s="488">
        <f t="shared" si="400"/>
        <v>0</v>
      </c>
    </row>
    <row r="385" spans="1:59" s="82" customFormat="1" ht="59.25" customHeight="1">
      <c r="A385" s="553" t="s">
        <v>639</v>
      </c>
      <c r="B385" s="700" t="s">
        <v>647</v>
      </c>
      <c r="C385" s="494"/>
      <c r="D385" s="494"/>
      <c r="E385" s="494"/>
      <c r="F385" s="494"/>
      <c r="G385" s="494"/>
      <c r="H385" s="494"/>
      <c r="I385" s="494"/>
      <c r="J385" s="495"/>
      <c r="K385" s="496"/>
      <c r="L385" s="496"/>
      <c r="M385" s="496"/>
      <c r="N385" s="496"/>
      <c r="O385" s="496"/>
      <c r="P385" s="496"/>
      <c r="Q385" s="496">
        <f t="shared" si="427"/>
        <v>0</v>
      </c>
      <c r="R385" s="496">
        <f t="shared" si="428"/>
        <v>0</v>
      </c>
      <c r="S385" s="496"/>
      <c r="T385" s="496"/>
      <c r="U385" s="496"/>
      <c r="V385" s="496"/>
      <c r="W385" s="496"/>
      <c r="X385" s="496"/>
      <c r="Y385" s="496"/>
      <c r="Z385" s="496"/>
      <c r="AA385" s="496"/>
      <c r="AB385" s="496"/>
      <c r="AC385" s="496"/>
      <c r="AD385" s="496"/>
      <c r="AE385" s="496"/>
      <c r="AF385" s="496"/>
      <c r="AG385" s="496"/>
      <c r="AH385" s="482">
        <f t="shared" si="429"/>
        <v>0</v>
      </c>
      <c r="AI385" s="482">
        <f t="shared" si="430"/>
        <v>0</v>
      </c>
      <c r="AJ385" s="482"/>
      <c r="AK385" s="482"/>
      <c r="AL385" s="482">
        <f t="shared" si="432"/>
        <v>0</v>
      </c>
      <c r="AM385" s="482">
        <f t="shared" si="433"/>
        <v>0</v>
      </c>
      <c r="AN385" s="482">
        <f t="shared" si="434"/>
        <v>0</v>
      </c>
      <c r="AO385" s="482">
        <f t="shared" si="435"/>
        <v>0</v>
      </c>
      <c r="AP385" s="496"/>
      <c r="AQ385" s="496"/>
      <c r="AR385" s="496"/>
      <c r="AS385" s="496"/>
      <c r="AT385" s="494"/>
      <c r="AU385" s="484">
        <f t="shared" si="398"/>
        <v>0</v>
      </c>
      <c r="AV385" s="484">
        <f t="shared" si="431"/>
        <v>0</v>
      </c>
      <c r="AW385" s="521"/>
      <c r="AX385" s="548"/>
      <c r="BG385" s="488">
        <f t="shared" si="400"/>
        <v>0</v>
      </c>
    </row>
    <row r="386" spans="1:59" s="82" customFormat="1" ht="59.25" customHeight="1">
      <c r="A386" s="543">
        <v>4</v>
      </c>
      <c r="B386" s="700" t="s">
        <v>745</v>
      </c>
      <c r="C386" s="494" t="s">
        <v>359</v>
      </c>
      <c r="D386" s="494"/>
      <c r="E386" s="494"/>
      <c r="F386" s="494"/>
      <c r="G386" s="494"/>
      <c r="H386" s="494"/>
      <c r="I386" s="494"/>
      <c r="J386" s="495"/>
      <c r="K386" s="496"/>
      <c r="L386" s="496"/>
      <c r="M386" s="496"/>
      <c r="N386" s="496"/>
      <c r="O386" s="496"/>
      <c r="P386" s="496"/>
      <c r="Q386" s="496">
        <f t="shared" si="427"/>
        <v>0</v>
      </c>
      <c r="R386" s="496">
        <f t="shared" si="428"/>
        <v>0</v>
      </c>
      <c r="S386" s="496">
        <v>1800</v>
      </c>
      <c r="T386" s="496">
        <v>1800</v>
      </c>
      <c r="U386" s="496"/>
      <c r="V386" s="496"/>
      <c r="W386" s="496"/>
      <c r="X386" s="496"/>
      <c r="Y386" s="496"/>
      <c r="Z386" s="496"/>
      <c r="AA386" s="496"/>
      <c r="AB386" s="496"/>
      <c r="AC386" s="496"/>
      <c r="AD386" s="496"/>
      <c r="AE386" s="496"/>
      <c r="AF386" s="496"/>
      <c r="AG386" s="496"/>
      <c r="AH386" s="496">
        <f>X386+AB386</f>
        <v>0</v>
      </c>
      <c r="AI386" s="496">
        <f>Y386+AC386</f>
        <v>0</v>
      </c>
      <c r="AJ386" s="496"/>
      <c r="AK386" s="496"/>
      <c r="AL386" s="496">
        <f>AP386</f>
        <v>0</v>
      </c>
      <c r="AM386" s="496">
        <f>AQ386</f>
        <v>0</v>
      </c>
      <c r="AN386" s="496">
        <f>AR386</f>
        <v>0</v>
      </c>
      <c r="AO386" s="496">
        <f>AS386</f>
        <v>0</v>
      </c>
      <c r="AP386" s="496">
        <f>AQ386</f>
        <v>0</v>
      </c>
      <c r="AQ386" s="496"/>
      <c r="AR386" s="496"/>
      <c r="AS386" s="496"/>
      <c r="AT386" s="494"/>
      <c r="AU386" s="484">
        <f>AP386-AQ386</f>
        <v>0</v>
      </c>
      <c r="AV386" s="484">
        <f>V386-AA386</f>
        <v>0</v>
      </c>
      <c r="AW386" s="521"/>
      <c r="AX386" s="548">
        <f>T386</f>
        <v>1800</v>
      </c>
      <c r="AY386" s="82">
        <f>T386-AX386</f>
        <v>0</v>
      </c>
      <c r="BD386" s="82">
        <v>1</v>
      </c>
      <c r="BE386" s="82">
        <v>1</v>
      </c>
      <c r="BF386" s="82">
        <f>AQ386</f>
        <v>0</v>
      </c>
      <c r="BG386" s="488">
        <f t="shared" si="400"/>
        <v>0</v>
      </c>
    </row>
    <row r="387" spans="1:59" s="82" customFormat="1" ht="59.25" customHeight="1">
      <c r="A387" s="484">
        <v>22</v>
      </c>
      <c r="B387" s="700" t="s">
        <v>641</v>
      </c>
      <c r="C387" s="494" t="s">
        <v>359</v>
      </c>
      <c r="D387" s="494"/>
      <c r="E387" s="494"/>
      <c r="F387" s="494"/>
      <c r="G387" s="494"/>
      <c r="H387" s="494"/>
      <c r="I387" s="494"/>
      <c r="J387" s="495"/>
      <c r="K387" s="496"/>
      <c r="L387" s="496"/>
      <c r="M387" s="496"/>
      <c r="N387" s="496"/>
      <c r="O387" s="496"/>
      <c r="P387" s="496"/>
      <c r="Q387" s="496">
        <f t="shared" si="427"/>
        <v>0</v>
      </c>
      <c r="R387" s="496">
        <f t="shared" si="428"/>
        <v>0</v>
      </c>
      <c r="S387" s="496">
        <v>500</v>
      </c>
      <c r="T387" s="496">
        <v>500</v>
      </c>
      <c r="U387" s="496"/>
      <c r="V387" s="496"/>
      <c r="W387" s="496"/>
      <c r="X387" s="496"/>
      <c r="Y387" s="496"/>
      <c r="Z387" s="496"/>
      <c r="AA387" s="496"/>
      <c r="AB387" s="496"/>
      <c r="AC387" s="496"/>
      <c r="AD387" s="496"/>
      <c r="AE387" s="496"/>
      <c r="AF387" s="496"/>
      <c r="AG387" s="496"/>
      <c r="AH387" s="482">
        <f t="shared" si="429"/>
        <v>0</v>
      </c>
      <c r="AI387" s="482">
        <f t="shared" si="430"/>
        <v>0</v>
      </c>
      <c r="AJ387" s="482"/>
      <c r="AK387" s="482"/>
      <c r="AL387" s="482">
        <f t="shared" si="432"/>
        <v>0</v>
      </c>
      <c r="AM387" s="482">
        <f t="shared" si="433"/>
        <v>0</v>
      </c>
      <c r="AN387" s="482">
        <f t="shared" si="434"/>
        <v>0</v>
      </c>
      <c r="AO387" s="482">
        <f t="shared" si="435"/>
        <v>0</v>
      </c>
      <c r="AP387" s="496"/>
      <c r="AQ387" s="496"/>
      <c r="AR387" s="496"/>
      <c r="AS387" s="496"/>
      <c r="AT387" s="494"/>
      <c r="AU387" s="484">
        <f t="shared" si="398"/>
        <v>0</v>
      </c>
      <c r="AV387" s="484">
        <f t="shared" si="431"/>
        <v>0</v>
      </c>
      <c r="AW387" s="521"/>
      <c r="AX387" s="548"/>
      <c r="BG387" s="488">
        <f t="shared" si="400"/>
        <v>0</v>
      </c>
    </row>
    <row r="388" spans="1:59" s="82" customFormat="1" ht="59.25" customHeight="1">
      <c r="A388" s="553" t="s">
        <v>639</v>
      </c>
      <c r="B388" s="700" t="s">
        <v>648</v>
      </c>
      <c r="C388" s="494"/>
      <c r="D388" s="494"/>
      <c r="E388" s="494"/>
      <c r="F388" s="494"/>
      <c r="G388" s="494"/>
      <c r="H388" s="494"/>
      <c r="I388" s="494"/>
      <c r="J388" s="495"/>
      <c r="K388" s="496"/>
      <c r="L388" s="496"/>
      <c r="M388" s="496"/>
      <c r="N388" s="496"/>
      <c r="O388" s="496"/>
      <c r="P388" s="496"/>
      <c r="Q388" s="496">
        <f t="shared" si="427"/>
        <v>0</v>
      </c>
      <c r="R388" s="496">
        <f t="shared" si="428"/>
        <v>0</v>
      </c>
      <c r="S388" s="496"/>
      <c r="T388" s="496"/>
      <c r="U388" s="496"/>
      <c r="V388" s="496"/>
      <c r="W388" s="496"/>
      <c r="X388" s="496"/>
      <c r="Y388" s="496"/>
      <c r="Z388" s="496"/>
      <c r="AA388" s="496"/>
      <c r="AB388" s="496"/>
      <c r="AC388" s="496"/>
      <c r="AD388" s="496"/>
      <c r="AE388" s="496"/>
      <c r="AF388" s="496"/>
      <c r="AG388" s="496"/>
      <c r="AH388" s="482">
        <f t="shared" si="429"/>
        <v>0</v>
      </c>
      <c r="AI388" s="482">
        <f t="shared" si="430"/>
        <v>0</v>
      </c>
      <c r="AJ388" s="482"/>
      <c r="AK388" s="482"/>
      <c r="AL388" s="482">
        <f t="shared" si="432"/>
        <v>0</v>
      </c>
      <c r="AM388" s="482">
        <f t="shared" si="433"/>
        <v>0</v>
      </c>
      <c r="AN388" s="482">
        <f t="shared" si="434"/>
        <v>0</v>
      </c>
      <c r="AO388" s="482">
        <f t="shared" si="435"/>
        <v>0</v>
      </c>
      <c r="AP388" s="496"/>
      <c r="AQ388" s="496"/>
      <c r="AR388" s="496"/>
      <c r="AS388" s="496"/>
      <c r="AT388" s="494"/>
      <c r="AU388" s="484">
        <f t="shared" si="398"/>
        <v>0</v>
      </c>
      <c r="AV388" s="484">
        <f t="shared" si="431"/>
        <v>0</v>
      </c>
      <c r="AW388" s="521"/>
      <c r="AX388" s="548"/>
      <c r="BG388" s="488">
        <f t="shared" si="400"/>
        <v>0</v>
      </c>
    </row>
    <row r="389" spans="1:59" s="82" customFormat="1" ht="59.25" customHeight="1">
      <c r="A389" s="484">
        <v>25</v>
      </c>
      <c r="B389" s="700" t="s">
        <v>649</v>
      </c>
      <c r="C389" s="494" t="s">
        <v>359</v>
      </c>
      <c r="D389" s="494"/>
      <c r="E389" s="494"/>
      <c r="F389" s="494"/>
      <c r="G389" s="494"/>
      <c r="H389" s="494"/>
      <c r="I389" s="494"/>
      <c r="J389" s="495"/>
      <c r="K389" s="496"/>
      <c r="L389" s="496"/>
      <c r="M389" s="496"/>
      <c r="N389" s="496"/>
      <c r="O389" s="496"/>
      <c r="P389" s="496"/>
      <c r="Q389" s="496">
        <f t="shared" si="427"/>
        <v>0</v>
      </c>
      <c r="R389" s="496">
        <f t="shared" si="428"/>
        <v>0</v>
      </c>
      <c r="S389" s="496">
        <v>1500</v>
      </c>
      <c r="T389" s="496">
        <v>1500</v>
      </c>
      <c r="U389" s="496"/>
      <c r="V389" s="496"/>
      <c r="W389" s="496"/>
      <c r="X389" s="496"/>
      <c r="Y389" s="496"/>
      <c r="Z389" s="496"/>
      <c r="AA389" s="496"/>
      <c r="AB389" s="496"/>
      <c r="AC389" s="496"/>
      <c r="AD389" s="496"/>
      <c r="AE389" s="496"/>
      <c r="AF389" s="496"/>
      <c r="AG389" s="496"/>
      <c r="AH389" s="482">
        <f t="shared" si="429"/>
        <v>0</v>
      </c>
      <c r="AI389" s="482">
        <f t="shared" si="430"/>
        <v>0</v>
      </c>
      <c r="AJ389" s="482"/>
      <c r="AK389" s="482"/>
      <c r="AL389" s="482">
        <f t="shared" si="432"/>
        <v>0</v>
      </c>
      <c r="AM389" s="482">
        <f t="shared" si="433"/>
        <v>0</v>
      </c>
      <c r="AN389" s="482">
        <f t="shared" si="434"/>
        <v>0</v>
      </c>
      <c r="AO389" s="482">
        <f t="shared" si="435"/>
        <v>0</v>
      </c>
      <c r="AP389" s="496"/>
      <c r="AQ389" s="496"/>
      <c r="AR389" s="496"/>
      <c r="AS389" s="496"/>
      <c r="AT389" s="494"/>
      <c r="AU389" s="484">
        <f t="shared" si="398"/>
        <v>0</v>
      </c>
      <c r="AV389" s="484">
        <f t="shared" si="431"/>
        <v>0</v>
      </c>
      <c r="AW389" s="521"/>
      <c r="AX389" s="548"/>
      <c r="BG389" s="488">
        <f t="shared" si="400"/>
        <v>0</v>
      </c>
    </row>
    <row r="390" spans="1:59" s="82" customFormat="1" ht="59.25" customHeight="1">
      <c r="A390" s="484">
        <v>27</v>
      </c>
      <c r="B390" s="700" t="s">
        <v>650</v>
      </c>
      <c r="C390" s="494" t="s">
        <v>359</v>
      </c>
      <c r="D390" s="494"/>
      <c r="E390" s="494"/>
      <c r="F390" s="494"/>
      <c r="G390" s="494"/>
      <c r="H390" s="494"/>
      <c r="I390" s="494"/>
      <c r="J390" s="495"/>
      <c r="K390" s="496"/>
      <c r="L390" s="496"/>
      <c r="M390" s="496"/>
      <c r="N390" s="496"/>
      <c r="O390" s="496"/>
      <c r="P390" s="496"/>
      <c r="Q390" s="496">
        <f t="shared" si="427"/>
        <v>0</v>
      </c>
      <c r="R390" s="496">
        <f t="shared" si="428"/>
        <v>0</v>
      </c>
      <c r="S390" s="496">
        <v>500</v>
      </c>
      <c r="T390" s="496">
        <v>500</v>
      </c>
      <c r="U390" s="496"/>
      <c r="V390" s="496"/>
      <c r="W390" s="496"/>
      <c r="X390" s="496"/>
      <c r="Y390" s="496"/>
      <c r="Z390" s="496"/>
      <c r="AA390" s="496"/>
      <c r="AB390" s="496"/>
      <c r="AC390" s="496"/>
      <c r="AD390" s="496"/>
      <c r="AE390" s="496"/>
      <c r="AF390" s="496"/>
      <c r="AG390" s="496"/>
      <c r="AH390" s="482">
        <f t="shared" si="429"/>
        <v>0</v>
      </c>
      <c r="AI390" s="482">
        <f t="shared" si="430"/>
        <v>0</v>
      </c>
      <c r="AJ390" s="482"/>
      <c r="AK390" s="482"/>
      <c r="AL390" s="482">
        <f t="shared" si="432"/>
        <v>0</v>
      </c>
      <c r="AM390" s="482">
        <f t="shared" si="433"/>
        <v>0</v>
      </c>
      <c r="AN390" s="482">
        <f t="shared" si="434"/>
        <v>0</v>
      </c>
      <c r="AO390" s="482">
        <f t="shared" si="435"/>
        <v>0</v>
      </c>
      <c r="AP390" s="496"/>
      <c r="AQ390" s="496"/>
      <c r="AR390" s="496"/>
      <c r="AS390" s="496"/>
      <c r="AT390" s="494"/>
      <c r="AU390" s="484">
        <f t="shared" si="398"/>
        <v>0</v>
      </c>
      <c r="AV390" s="484">
        <f t="shared" si="431"/>
        <v>0</v>
      </c>
      <c r="AW390" s="521"/>
      <c r="AX390" s="548"/>
      <c r="BG390" s="488">
        <f t="shared" si="400"/>
        <v>0</v>
      </c>
    </row>
    <row r="391" spans="1:59" s="82" customFormat="1" ht="59.25" hidden="1" customHeight="1">
      <c r="A391" s="484"/>
      <c r="B391" s="700"/>
      <c r="C391" s="494"/>
      <c r="D391" s="494"/>
      <c r="E391" s="494"/>
      <c r="F391" s="494"/>
      <c r="G391" s="494"/>
      <c r="H391" s="494"/>
      <c r="I391" s="494"/>
      <c r="J391" s="495"/>
      <c r="K391" s="496"/>
      <c r="L391" s="496"/>
      <c r="M391" s="496"/>
      <c r="N391" s="496"/>
      <c r="O391" s="496"/>
      <c r="P391" s="496"/>
      <c r="Q391" s="496"/>
      <c r="R391" s="496"/>
      <c r="S391" s="496"/>
      <c r="T391" s="496"/>
      <c r="U391" s="496"/>
      <c r="V391" s="496"/>
      <c r="W391" s="496"/>
      <c r="X391" s="496"/>
      <c r="Y391" s="496"/>
      <c r="Z391" s="496"/>
      <c r="AA391" s="496"/>
      <c r="AB391" s="496"/>
      <c r="AC391" s="496"/>
      <c r="AD391" s="496"/>
      <c r="AE391" s="496"/>
      <c r="AF391" s="496"/>
      <c r="AG391" s="496"/>
      <c r="AH391" s="482"/>
      <c r="AI391" s="482"/>
      <c r="AJ391" s="482"/>
      <c r="AK391" s="482"/>
      <c r="AL391" s="482"/>
      <c r="AM391" s="482"/>
      <c r="AN391" s="482"/>
      <c r="AO391" s="482"/>
      <c r="AP391" s="496"/>
      <c r="AQ391" s="496"/>
      <c r="AR391" s="496"/>
      <c r="AS391" s="496"/>
      <c r="AT391" s="494"/>
      <c r="AU391" s="484">
        <f t="shared" si="398"/>
        <v>0</v>
      </c>
      <c r="AV391" s="484">
        <f t="shared" si="431"/>
        <v>0</v>
      </c>
      <c r="AW391" s="521"/>
      <c r="AX391" s="548"/>
      <c r="BG391" s="488">
        <f t="shared" si="400"/>
        <v>0</v>
      </c>
    </row>
    <row r="392" spans="1:59" s="81" customFormat="1" ht="59.25" customHeight="1">
      <c r="A392" s="556"/>
      <c r="B392" s="479" t="s">
        <v>331</v>
      </c>
      <c r="C392" s="480"/>
      <c r="D392" s="480"/>
      <c r="E392" s="480"/>
      <c r="F392" s="480"/>
      <c r="G392" s="480"/>
      <c r="H392" s="480"/>
      <c r="I392" s="480"/>
      <c r="J392" s="481"/>
      <c r="K392" s="482"/>
      <c r="L392" s="482"/>
      <c r="M392" s="482"/>
      <c r="N392" s="482"/>
      <c r="O392" s="482"/>
      <c r="P392" s="482"/>
      <c r="Q392" s="496"/>
      <c r="R392" s="496"/>
      <c r="S392" s="482"/>
      <c r="T392" s="482"/>
      <c r="U392" s="482"/>
      <c r="V392" s="482"/>
      <c r="W392" s="482"/>
      <c r="X392" s="482"/>
      <c r="Y392" s="482"/>
      <c r="Z392" s="482"/>
      <c r="AA392" s="482"/>
      <c r="AB392" s="482"/>
      <c r="AC392" s="482"/>
      <c r="AD392" s="482"/>
      <c r="AE392" s="482"/>
      <c r="AF392" s="482"/>
      <c r="AG392" s="482"/>
      <c r="AH392" s="482"/>
      <c r="AI392" s="482"/>
      <c r="AJ392" s="482"/>
      <c r="AK392" s="482"/>
      <c r="AL392" s="482"/>
      <c r="AM392" s="482"/>
      <c r="AN392" s="482"/>
      <c r="AO392" s="482"/>
      <c r="AP392" s="702"/>
      <c r="AQ392" s="482">
        <v>151866</v>
      </c>
      <c r="AR392" s="482"/>
      <c r="AS392" s="482"/>
      <c r="AT392" s="649">
        <f>AQ392-AQ393</f>
        <v>0</v>
      </c>
      <c r="AU392" s="484">
        <f t="shared" si="398"/>
        <v>-151866</v>
      </c>
      <c r="AV392" s="484">
        <f t="shared" si="431"/>
        <v>0</v>
      </c>
      <c r="AW392" s="489"/>
      <c r="AX392" s="537"/>
      <c r="BG392" s="488">
        <f t="shared" si="400"/>
        <v>-151866</v>
      </c>
    </row>
    <row r="393" spans="1:59" s="81" customFormat="1" ht="59.25" customHeight="1">
      <c r="A393" s="533" t="s">
        <v>651</v>
      </c>
      <c r="B393" s="539" t="s">
        <v>652</v>
      </c>
      <c r="C393" s="480"/>
      <c r="D393" s="480"/>
      <c r="E393" s="480"/>
      <c r="F393" s="480"/>
      <c r="G393" s="480"/>
      <c r="H393" s="540"/>
      <c r="I393" s="480"/>
      <c r="J393" s="481"/>
      <c r="K393" s="482">
        <f t="shared" ref="K393:AI393" si="436">K394+K398+K412+K421+K431</f>
        <v>2253977.7999999998</v>
      </c>
      <c r="L393" s="482">
        <f t="shared" si="436"/>
        <v>672290</v>
      </c>
      <c r="M393" s="482">
        <f t="shared" si="436"/>
        <v>322592</v>
      </c>
      <c r="N393" s="482">
        <f t="shared" si="436"/>
        <v>13850</v>
      </c>
      <c r="O393" s="482">
        <f t="shared" si="436"/>
        <v>322592</v>
      </c>
      <c r="P393" s="482">
        <f t="shared" si="436"/>
        <v>38850</v>
      </c>
      <c r="Q393" s="482">
        <f t="shared" si="436"/>
        <v>461872</v>
      </c>
      <c r="R393" s="482">
        <f t="shared" si="436"/>
        <v>77338</v>
      </c>
      <c r="S393" s="482">
        <f t="shared" si="436"/>
        <v>1067603.6000000001</v>
      </c>
      <c r="T393" s="482">
        <f t="shared" si="436"/>
        <v>431462.6</v>
      </c>
      <c r="U393" s="482">
        <f t="shared" si="436"/>
        <v>0</v>
      </c>
      <c r="V393" s="482">
        <f t="shared" si="436"/>
        <v>1850</v>
      </c>
      <c r="W393" s="482">
        <f t="shared" si="436"/>
        <v>672149.8</v>
      </c>
      <c r="X393" s="482">
        <f t="shared" si="436"/>
        <v>139280</v>
      </c>
      <c r="Y393" s="482">
        <f t="shared" si="436"/>
        <v>63488</v>
      </c>
      <c r="Z393" s="482">
        <f t="shared" si="436"/>
        <v>0</v>
      </c>
      <c r="AA393" s="482">
        <f t="shared" si="436"/>
        <v>1850</v>
      </c>
      <c r="AB393" s="482">
        <f t="shared" si="436"/>
        <v>325498.90000000002</v>
      </c>
      <c r="AC393" s="482">
        <f t="shared" si="436"/>
        <v>103851.9</v>
      </c>
      <c r="AD393" s="482">
        <f t="shared" si="436"/>
        <v>3500</v>
      </c>
      <c r="AE393" s="482">
        <f t="shared" si="436"/>
        <v>0</v>
      </c>
      <c r="AF393" s="482">
        <f t="shared" si="436"/>
        <v>42464.121262999994</v>
      </c>
      <c r="AG393" s="482">
        <f t="shared" si="436"/>
        <v>62603.957611000005</v>
      </c>
      <c r="AH393" s="482">
        <f t="shared" si="436"/>
        <v>495412.9</v>
      </c>
      <c r="AI393" s="482">
        <f t="shared" si="436"/>
        <v>176982</v>
      </c>
      <c r="AJ393" s="482"/>
      <c r="AK393" s="482"/>
      <c r="AL393" s="482">
        <f t="shared" ref="AL393:AS393" si="437">AL394+AL398+AL412+AL421+AL431</f>
        <v>124797</v>
      </c>
      <c r="AM393" s="482">
        <f t="shared" si="437"/>
        <v>96980</v>
      </c>
      <c r="AN393" s="482">
        <f t="shared" si="437"/>
        <v>0</v>
      </c>
      <c r="AO393" s="482">
        <f t="shared" si="437"/>
        <v>0</v>
      </c>
      <c r="AP393" s="482">
        <f t="shared" si="437"/>
        <v>190483</v>
      </c>
      <c r="AQ393" s="482">
        <f t="shared" si="437"/>
        <v>151866</v>
      </c>
      <c r="AR393" s="482">
        <f t="shared" si="437"/>
        <v>50000</v>
      </c>
      <c r="AS393" s="482">
        <f t="shared" si="437"/>
        <v>0</v>
      </c>
      <c r="AT393" s="515"/>
      <c r="AU393" s="484">
        <f t="shared" si="398"/>
        <v>38617</v>
      </c>
      <c r="AV393" s="484">
        <f t="shared" si="431"/>
        <v>0</v>
      </c>
      <c r="AW393" s="489"/>
      <c r="AX393" s="537"/>
      <c r="BG393" s="488">
        <f t="shared" si="400"/>
        <v>-27069</v>
      </c>
    </row>
    <row r="394" spans="1:59" s="80" customFormat="1" ht="59.25" customHeight="1">
      <c r="A394" s="556" t="s">
        <v>33</v>
      </c>
      <c r="B394" s="557" t="s">
        <v>286</v>
      </c>
      <c r="C394" s="526"/>
      <c r="D394" s="526"/>
      <c r="E394" s="526"/>
      <c r="F394" s="526"/>
      <c r="G394" s="526"/>
      <c r="H394" s="526"/>
      <c r="I394" s="526"/>
      <c r="J394" s="527"/>
      <c r="K394" s="602">
        <f>K395</f>
        <v>253062</v>
      </c>
      <c r="L394" s="602">
        <f t="shared" ref="L394:AS394" si="438">L395</f>
        <v>71501</v>
      </c>
      <c r="M394" s="602">
        <f t="shared" si="438"/>
        <v>85700</v>
      </c>
      <c r="N394" s="602">
        <f t="shared" si="438"/>
        <v>0</v>
      </c>
      <c r="O394" s="602">
        <f t="shared" si="438"/>
        <v>85700</v>
      </c>
      <c r="P394" s="602">
        <f t="shared" si="438"/>
        <v>0</v>
      </c>
      <c r="Q394" s="602">
        <f t="shared" si="438"/>
        <v>112741</v>
      </c>
      <c r="R394" s="602">
        <f t="shared" si="438"/>
        <v>6541</v>
      </c>
      <c r="S394" s="602">
        <f t="shared" si="438"/>
        <v>155734</v>
      </c>
      <c r="T394" s="602">
        <f t="shared" si="438"/>
        <v>23131</v>
      </c>
      <c r="U394" s="602">
        <f t="shared" si="438"/>
        <v>0</v>
      </c>
      <c r="V394" s="602">
        <f t="shared" si="438"/>
        <v>0</v>
      </c>
      <c r="W394" s="602">
        <f t="shared" si="438"/>
        <v>210474.8</v>
      </c>
      <c r="X394" s="602">
        <f t="shared" si="438"/>
        <v>27041</v>
      </c>
      <c r="Y394" s="602">
        <f t="shared" si="438"/>
        <v>6541</v>
      </c>
      <c r="Z394" s="602">
        <f t="shared" si="438"/>
        <v>0</v>
      </c>
      <c r="AA394" s="602">
        <f t="shared" si="438"/>
        <v>0</v>
      </c>
      <c r="AB394" s="602">
        <f t="shared" si="438"/>
        <v>60000</v>
      </c>
      <c r="AC394" s="602">
        <f t="shared" si="438"/>
        <v>5000</v>
      </c>
      <c r="AD394" s="602">
        <f t="shared" si="438"/>
        <v>0</v>
      </c>
      <c r="AE394" s="602">
        <f t="shared" si="438"/>
        <v>0</v>
      </c>
      <c r="AF394" s="602">
        <f t="shared" si="438"/>
        <v>4543</v>
      </c>
      <c r="AG394" s="602">
        <f t="shared" si="438"/>
        <v>5000</v>
      </c>
      <c r="AH394" s="602">
        <f t="shared" si="438"/>
        <v>117675</v>
      </c>
      <c r="AI394" s="602">
        <f t="shared" si="438"/>
        <v>21541</v>
      </c>
      <c r="AJ394" s="602">
        <f t="shared" si="438"/>
        <v>0</v>
      </c>
      <c r="AK394" s="602">
        <f t="shared" si="438"/>
        <v>0</v>
      </c>
      <c r="AL394" s="602">
        <f t="shared" si="438"/>
        <v>1590</v>
      </c>
      <c r="AM394" s="602">
        <f t="shared" si="438"/>
        <v>1590</v>
      </c>
      <c r="AN394" s="602">
        <f t="shared" si="438"/>
        <v>0</v>
      </c>
      <c r="AO394" s="602">
        <f t="shared" si="438"/>
        <v>0</v>
      </c>
      <c r="AP394" s="602">
        <f t="shared" si="438"/>
        <v>12633</v>
      </c>
      <c r="AQ394" s="602">
        <f t="shared" si="438"/>
        <v>2633</v>
      </c>
      <c r="AR394" s="602">
        <f t="shared" si="438"/>
        <v>0</v>
      </c>
      <c r="AS394" s="602">
        <f t="shared" si="438"/>
        <v>0</v>
      </c>
      <c r="AT394" s="603"/>
      <c r="AU394" s="501">
        <f t="shared" ref="AU394:AU424" si="439">AP394-AQ394</f>
        <v>10000</v>
      </c>
      <c r="AV394" s="523"/>
      <c r="AW394" s="603"/>
      <c r="AX394" s="542"/>
      <c r="BC394" s="703"/>
      <c r="BG394" s="511">
        <f t="shared" ref="BG394:BG425" si="440">AL394-AQ394</f>
        <v>-1043</v>
      </c>
    </row>
    <row r="395" spans="1:59" s="81" customFormat="1" ht="59.25" customHeight="1">
      <c r="A395" s="556" t="s">
        <v>35</v>
      </c>
      <c r="B395" s="557" t="s">
        <v>43</v>
      </c>
      <c r="C395" s="480"/>
      <c r="D395" s="480"/>
      <c r="E395" s="480"/>
      <c r="F395" s="480"/>
      <c r="G395" s="480"/>
      <c r="H395" s="480"/>
      <c r="I395" s="480"/>
      <c r="J395" s="481"/>
      <c r="K395" s="482">
        <f>K396+K397</f>
        <v>253062</v>
      </c>
      <c r="L395" s="482">
        <f t="shared" ref="L395:AS395" si="441">L396+L397</f>
        <v>71501</v>
      </c>
      <c r="M395" s="482">
        <f t="shared" si="441"/>
        <v>85700</v>
      </c>
      <c r="N395" s="482">
        <f t="shared" si="441"/>
        <v>0</v>
      </c>
      <c r="O395" s="482">
        <f t="shared" si="441"/>
        <v>85700</v>
      </c>
      <c r="P395" s="482">
        <f t="shared" si="441"/>
        <v>0</v>
      </c>
      <c r="Q395" s="482">
        <f t="shared" si="441"/>
        <v>112741</v>
      </c>
      <c r="R395" s="482">
        <f t="shared" si="441"/>
        <v>6541</v>
      </c>
      <c r="S395" s="482">
        <f t="shared" si="441"/>
        <v>155734</v>
      </c>
      <c r="T395" s="482">
        <f t="shared" si="441"/>
        <v>23131</v>
      </c>
      <c r="U395" s="482">
        <f t="shared" si="441"/>
        <v>0</v>
      </c>
      <c r="V395" s="482">
        <f t="shared" si="441"/>
        <v>0</v>
      </c>
      <c r="W395" s="482">
        <f t="shared" si="441"/>
        <v>210474.8</v>
      </c>
      <c r="X395" s="482">
        <f t="shared" si="441"/>
        <v>27041</v>
      </c>
      <c r="Y395" s="482">
        <f t="shared" si="441"/>
        <v>6541</v>
      </c>
      <c r="Z395" s="482">
        <f t="shared" si="441"/>
        <v>0</v>
      </c>
      <c r="AA395" s="482">
        <f t="shared" si="441"/>
        <v>0</v>
      </c>
      <c r="AB395" s="482">
        <f t="shared" si="441"/>
        <v>60000</v>
      </c>
      <c r="AC395" s="482">
        <f t="shared" si="441"/>
        <v>5000</v>
      </c>
      <c r="AD395" s="482">
        <f t="shared" si="441"/>
        <v>0</v>
      </c>
      <c r="AE395" s="482">
        <f t="shared" si="441"/>
        <v>0</v>
      </c>
      <c r="AF395" s="482">
        <f t="shared" si="441"/>
        <v>4543</v>
      </c>
      <c r="AG395" s="482">
        <f t="shared" si="441"/>
        <v>5000</v>
      </c>
      <c r="AH395" s="482">
        <f t="shared" si="441"/>
        <v>117675</v>
      </c>
      <c r="AI395" s="482">
        <f t="shared" si="441"/>
        <v>21541</v>
      </c>
      <c r="AJ395" s="482">
        <f t="shared" si="441"/>
        <v>0</v>
      </c>
      <c r="AK395" s="482">
        <f t="shared" si="441"/>
        <v>0</v>
      </c>
      <c r="AL395" s="482">
        <f t="shared" si="441"/>
        <v>1590</v>
      </c>
      <c r="AM395" s="482">
        <f t="shared" si="441"/>
        <v>1590</v>
      </c>
      <c r="AN395" s="482">
        <f t="shared" si="441"/>
        <v>0</v>
      </c>
      <c r="AO395" s="482">
        <f t="shared" si="441"/>
        <v>0</v>
      </c>
      <c r="AP395" s="482">
        <f t="shared" si="441"/>
        <v>12633</v>
      </c>
      <c r="AQ395" s="482">
        <f>AQ396+AQ397</f>
        <v>2633</v>
      </c>
      <c r="AR395" s="482">
        <f t="shared" si="441"/>
        <v>0</v>
      </c>
      <c r="AS395" s="482">
        <f t="shared" si="441"/>
        <v>0</v>
      </c>
      <c r="AT395" s="551"/>
      <c r="AU395" s="484">
        <f>AP395-AQ395</f>
        <v>10000</v>
      </c>
      <c r="AV395" s="489"/>
      <c r="AW395" s="551"/>
      <c r="AX395" s="537"/>
      <c r="BC395" s="704"/>
      <c r="BG395" s="488">
        <f t="shared" si="440"/>
        <v>-1043</v>
      </c>
    </row>
    <row r="396" spans="1:59" s="82" customFormat="1" ht="59.25" customHeight="1">
      <c r="A396" s="559" t="s">
        <v>37</v>
      </c>
      <c r="B396" s="583" t="s">
        <v>662</v>
      </c>
      <c r="C396" s="494" t="s">
        <v>595</v>
      </c>
      <c r="D396" s="494"/>
      <c r="E396" s="494" t="s">
        <v>1021</v>
      </c>
      <c r="F396" s="494"/>
      <c r="G396" s="494"/>
      <c r="H396" s="494"/>
      <c r="I396" s="494"/>
      <c r="J396" s="563" t="s">
        <v>663</v>
      </c>
      <c r="K396" s="496">
        <v>211561</v>
      </c>
      <c r="L396" s="496">
        <v>30000</v>
      </c>
      <c r="M396" s="496">
        <v>85700</v>
      </c>
      <c r="N396" s="496"/>
      <c r="O396" s="496">
        <v>85700</v>
      </c>
      <c r="P396" s="496"/>
      <c r="Q396" s="496">
        <f>M396+X396</f>
        <v>112741</v>
      </c>
      <c r="R396" s="496">
        <f>N396+Y396</f>
        <v>6541</v>
      </c>
      <c r="S396" s="496">
        <v>125100</v>
      </c>
      <c r="T396" s="496">
        <v>13131</v>
      </c>
      <c r="U396" s="496"/>
      <c r="V396" s="496">
        <v>0</v>
      </c>
      <c r="W396" s="496">
        <f>85700+20500+55000+6540.8+5000</f>
        <v>172740.8</v>
      </c>
      <c r="X396" s="496">
        <f>Y396+20500</f>
        <v>27041</v>
      </c>
      <c r="Y396" s="496">
        <v>6541</v>
      </c>
      <c r="Z396" s="496"/>
      <c r="AA396" s="496">
        <v>0</v>
      </c>
      <c r="AB396" s="520">
        <f>AC396+55000</f>
        <v>60000</v>
      </c>
      <c r="AC396" s="520">
        <v>5000</v>
      </c>
      <c r="AD396" s="496"/>
      <c r="AE396" s="496"/>
      <c r="AF396" s="547">
        <v>4543</v>
      </c>
      <c r="AG396" s="547">
        <v>5000</v>
      </c>
      <c r="AH396" s="496">
        <f>X396+AB396</f>
        <v>87041</v>
      </c>
      <c r="AI396" s="496">
        <f>Y396+AC396</f>
        <v>11541</v>
      </c>
      <c r="AJ396" s="496"/>
      <c r="AK396" s="496"/>
      <c r="AL396" s="496">
        <f>AM396</f>
        <v>1590</v>
      </c>
      <c r="AM396" s="496">
        <f>T396-AI396</f>
        <v>1590</v>
      </c>
      <c r="AN396" s="496">
        <f>AR396</f>
        <v>0</v>
      </c>
      <c r="AO396" s="496">
        <f>AS396</f>
        <v>0</v>
      </c>
      <c r="AP396" s="496">
        <f>AQ396+10000</f>
        <v>11590</v>
      </c>
      <c r="AQ396" s="496">
        <v>1590</v>
      </c>
      <c r="AR396" s="496"/>
      <c r="AS396" s="496"/>
      <c r="AT396" s="553" t="s">
        <v>812</v>
      </c>
      <c r="AU396" s="484">
        <f>AP396-AQ396</f>
        <v>10000</v>
      </c>
      <c r="AV396" s="484">
        <f>V396-AA396</f>
        <v>0</v>
      </c>
      <c r="AW396" s="553"/>
      <c r="AX396" s="548"/>
      <c r="BC396" s="656">
        <v>30000</v>
      </c>
      <c r="BD396" s="82">
        <f>T396-BC396</f>
        <v>-16869</v>
      </c>
      <c r="BG396" s="488">
        <f t="shared" si="440"/>
        <v>0</v>
      </c>
    </row>
    <row r="397" spans="1:59" s="82" customFormat="1" ht="59.25" customHeight="1">
      <c r="A397" s="559" t="s">
        <v>39</v>
      </c>
      <c r="B397" s="560" t="s">
        <v>1071</v>
      </c>
      <c r="C397" s="494"/>
      <c r="D397" s="494"/>
      <c r="E397" s="494" t="s">
        <v>999</v>
      </c>
      <c r="F397" s="494"/>
      <c r="G397" s="494"/>
      <c r="H397" s="494"/>
      <c r="I397" s="494"/>
      <c r="J397" s="623" t="s">
        <v>1072</v>
      </c>
      <c r="K397" s="705">
        <v>41501</v>
      </c>
      <c r="L397" s="546">
        <v>41501</v>
      </c>
      <c r="M397" s="496"/>
      <c r="N397" s="496"/>
      <c r="O397" s="496"/>
      <c r="P397" s="496"/>
      <c r="Q397" s="496"/>
      <c r="R397" s="496"/>
      <c r="S397" s="496">
        <v>30634</v>
      </c>
      <c r="T397" s="496">
        <v>10000</v>
      </c>
      <c r="U397" s="496"/>
      <c r="V397" s="496"/>
      <c r="W397" s="496">
        <f>AH397+7100</f>
        <v>37734</v>
      </c>
      <c r="X397" s="496"/>
      <c r="Y397" s="496"/>
      <c r="Z397" s="496"/>
      <c r="AA397" s="496"/>
      <c r="AB397" s="520"/>
      <c r="AC397" s="520"/>
      <c r="AD397" s="496"/>
      <c r="AE397" s="496"/>
      <c r="AF397" s="706"/>
      <c r="AG397" s="706"/>
      <c r="AH397" s="496">
        <f>AI397+20634</f>
        <v>30634</v>
      </c>
      <c r="AI397" s="496">
        <v>10000</v>
      </c>
      <c r="AJ397" s="496"/>
      <c r="AK397" s="496"/>
      <c r="AL397" s="496"/>
      <c r="AM397" s="496"/>
      <c r="AN397" s="496"/>
      <c r="AO397" s="496"/>
      <c r="AP397" s="496">
        <f>AQ397</f>
        <v>1043</v>
      </c>
      <c r="AQ397" s="496">
        <v>1043</v>
      </c>
      <c r="AR397" s="496"/>
      <c r="AS397" s="496"/>
      <c r="AT397" s="553" t="s">
        <v>946</v>
      </c>
      <c r="AU397" s="484"/>
      <c r="AV397" s="484"/>
      <c r="AW397" s="553"/>
      <c r="AX397" s="548"/>
      <c r="BC397" s="656"/>
      <c r="BF397" s="82">
        <f>AQ397</f>
        <v>1043</v>
      </c>
      <c r="BG397" s="488"/>
    </row>
    <row r="398" spans="1:59" s="81" customFormat="1" ht="59.25" customHeight="1">
      <c r="A398" s="478" t="s">
        <v>46</v>
      </c>
      <c r="B398" s="539" t="s">
        <v>287</v>
      </c>
      <c r="C398" s="480"/>
      <c r="D398" s="480"/>
      <c r="E398" s="480"/>
      <c r="F398" s="480"/>
      <c r="G398" s="480"/>
      <c r="H398" s="480"/>
      <c r="I398" s="480"/>
      <c r="J398" s="481"/>
      <c r="K398" s="482">
        <f>K399+K402</f>
        <v>535789</v>
      </c>
      <c r="L398" s="482">
        <f t="shared" ref="L398:AS398" si="442">L399+L402</f>
        <v>179098</v>
      </c>
      <c r="M398" s="482">
        <f t="shared" si="442"/>
        <v>160912</v>
      </c>
      <c r="N398" s="482">
        <f t="shared" si="442"/>
        <v>6850</v>
      </c>
      <c r="O398" s="482">
        <f t="shared" si="442"/>
        <v>160912</v>
      </c>
      <c r="P398" s="482">
        <f t="shared" si="442"/>
        <v>6850</v>
      </c>
      <c r="Q398" s="482">
        <f t="shared" si="442"/>
        <v>219593</v>
      </c>
      <c r="R398" s="482">
        <f t="shared" si="442"/>
        <v>30239</v>
      </c>
      <c r="S398" s="482">
        <f t="shared" si="442"/>
        <v>341230.1</v>
      </c>
      <c r="T398" s="482">
        <f t="shared" si="442"/>
        <v>153088</v>
      </c>
      <c r="U398" s="482">
        <f t="shared" si="442"/>
        <v>0</v>
      </c>
      <c r="V398" s="482">
        <f t="shared" si="442"/>
        <v>1850</v>
      </c>
      <c r="W398" s="482">
        <f t="shared" ref="W398" si="443">W399+W402</f>
        <v>279348</v>
      </c>
      <c r="X398" s="482">
        <f t="shared" si="442"/>
        <v>58681</v>
      </c>
      <c r="Y398" s="482">
        <f t="shared" si="442"/>
        <v>23389</v>
      </c>
      <c r="Z398" s="482">
        <f t="shared" si="442"/>
        <v>0</v>
      </c>
      <c r="AA398" s="482">
        <f t="shared" si="442"/>
        <v>1850</v>
      </c>
      <c r="AB398" s="482">
        <f t="shared" si="442"/>
        <v>211552.9</v>
      </c>
      <c r="AC398" s="482">
        <f t="shared" si="442"/>
        <v>60522.9</v>
      </c>
      <c r="AD398" s="482">
        <f t="shared" si="442"/>
        <v>2500</v>
      </c>
      <c r="AE398" s="482">
        <f t="shared" si="442"/>
        <v>0</v>
      </c>
      <c r="AF398" s="482">
        <f t="shared" si="442"/>
        <v>17591.213</v>
      </c>
      <c r="AG398" s="482">
        <f t="shared" si="442"/>
        <v>27721.049348000004</v>
      </c>
      <c r="AH398" s="482">
        <f t="shared" si="442"/>
        <v>270233.90000000002</v>
      </c>
      <c r="AI398" s="482">
        <f t="shared" si="442"/>
        <v>83554</v>
      </c>
      <c r="AJ398" s="482"/>
      <c r="AK398" s="482"/>
      <c r="AL398" s="482">
        <f t="shared" si="442"/>
        <v>57790</v>
      </c>
      <c r="AM398" s="482">
        <f t="shared" si="442"/>
        <v>57790</v>
      </c>
      <c r="AN398" s="482">
        <f t="shared" si="442"/>
        <v>0</v>
      </c>
      <c r="AO398" s="482">
        <f t="shared" si="442"/>
        <v>0</v>
      </c>
      <c r="AP398" s="482">
        <f t="shared" si="442"/>
        <v>57290</v>
      </c>
      <c r="AQ398" s="482">
        <f t="shared" si="442"/>
        <v>57290</v>
      </c>
      <c r="AR398" s="482">
        <f t="shared" si="442"/>
        <v>0</v>
      </c>
      <c r="AS398" s="482">
        <f t="shared" si="442"/>
        <v>0</v>
      </c>
      <c r="AT398" s="551"/>
      <c r="AU398" s="484">
        <f t="shared" si="439"/>
        <v>0</v>
      </c>
      <c r="AV398" s="489"/>
      <c r="AW398" s="551"/>
      <c r="AX398" s="537"/>
      <c r="BC398" s="704"/>
      <c r="BG398" s="488">
        <f t="shared" si="440"/>
        <v>500</v>
      </c>
    </row>
    <row r="399" spans="1:59" s="81" customFormat="1" ht="59.25" customHeight="1">
      <c r="A399" s="556" t="s">
        <v>35</v>
      </c>
      <c r="B399" s="557" t="s">
        <v>43</v>
      </c>
      <c r="C399" s="480"/>
      <c r="D399" s="480"/>
      <c r="E399" s="480"/>
      <c r="F399" s="480"/>
      <c r="G399" s="480"/>
      <c r="H399" s="480"/>
      <c r="I399" s="480"/>
      <c r="J399" s="481"/>
      <c r="K399" s="482">
        <f>SUM(K400:K401)</f>
        <v>251000</v>
      </c>
      <c r="L399" s="482">
        <f t="shared" ref="L399:AS399" si="444">SUM(L400:L401)</f>
        <v>48500</v>
      </c>
      <c r="M399" s="482">
        <f t="shared" si="444"/>
        <v>152500</v>
      </c>
      <c r="N399" s="482">
        <f t="shared" si="444"/>
        <v>0</v>
      </c>
      <c r="O399" s="482">
        <f t="shared" si="444"/>
        <v>152500</v>
      </c>
      <c r="P399" s="482">
        <f t="shared" si="444"/>
        <v>0</v>
      </c>
      <c r="Q399" s="482">
        <f t="shared" si="444"/>
        <v>184792</v>
      </c>
      <c r="R399" s="482">
        <f t="shared" si="444"/>
        <v>0</v>
      </c>
      <c r="S399" s="482">
        <f t="shared" si="444"/>
        <v>85150</v>
      </c>
      <c r="T399" s="482">
        <f t="shared" si="444"/>
        <v>35150</v>
      </c>
      <c r="U399" s="482">
        <f t="shared" si="444"/>
        <v>0</v>
      </c>
      <c r="V399" s="482">
        <f t="shared" si="444"/>
        <v>0</v>
      </c>
      <c r="W399" s="482">
        <f t="shared" ref="W399" si="445">SUM(W400:W401)</f>
        <v>195710</v>
      </c>
      <c r="X399" s="482">
        <f t="shared" si="444"/>
        <v>32292</v>
      </c>
      <c r="Y399" s="482">
        <f t="shared" si="444"/>
        <v>0</v>
      </c>
      <c r="Z399" s="482">
        <f t="shared" si="444"/>
        <v>0</v>
      </c>
      <c r="AA399" s="482">
        <f t="shared" si="444"/>
        <v>0</v>
      </c>
      <c r="AB399" s="482">
        <f t="shared" si="444"/>
        <v>28001</v>
      </c>
      <c r="AC399" s="482">
        <f t="shared" si="444"/>
        <v>12000</v>
      </c>
      <c r="AD399" s="482">
        <f t="shared" si="444"/>
        <v>0</v>
      </c>
      <c r="AE399" s="482">
        <f t="shared" si="444"/>
        <v>0</v>
      </c>
      <c r="AF399" s="482">
        <f t="shared" si="444"/>
        <v>2000</v>
      </c>
      <c r="AG399" s="482">
        <f t="shared" si="444"/>
        <v>7209.8363479999998</v>
      </c>
      <c r="AH399" s="482">
        <f t="shared" si="444"/>
        <v>60293</v>
      </c>
      <c r="AI399" s="482">
        <f t="shared" si="444"/>
        <v>12000</v>
      </c>
      <c r="AJ399" s="482"/>
      <c r="AK399" s="482"/>
      <c r="AL399" s="482">
        <f t="shared" si="444"/>
        <v>20000</v>
      </c>
      <c r="AM399" s="482">
        <f t="shared" si="444"/>
        <v>20000</v>
      </c>
      <c r="AN399" s="482">
        <f t="shared" si="444"/>
        <v>0</v>
      </c>
      <c r="AO399" s="482">
        <f t="shared" si="444"/>
        <v>0</v>
      </c>
      <c r="AP399" s="482">
        <f t="shared" si="444"/>
        <v>20000</v>
      </c>
      <c r="AQ399" s="482">
        <f t="shared" si="444"/>
        <v>20000</v>
      </c>
      <c r="AR399" s="482">
        <f t="shared" si="444"/>
        <v>0</v>
      </c>
      <c r="AS399" s="482">
        <f t="shared" si="444"/>
        <v>0</v>
      </c>
      <c r="AT399" s="551"/>
      <c r="AU399" s="484"/>
      <c r="AV399" s="489"/>
      <c r="AW399" s="551"/>
      <c r="AX399" s="537"/>
      <c r="BC399" s="704"/>
      <c r="BG399" s="488">
        <f t="shared" si="440"/>
        <v>0</v>
      </c>
    </row>
    <row r="400" spans="1:59" s="82" customFormat="1" ht="59.25" customHeight="1">
      <c r="A400" s="559" t="s">
        <v>77</v>
      </c>
      <c r="B400" s="599" t="s">
        <v>664</v>
      </c>
      <c r="C400" s="494" t="s">
        <v>595</v>
      </c>
      <c r="D400" s="494"/>
      <c r="E400" s="494" t="s">
        <v>1007</v>
      </c>
      <c r="F400" s="494"/>
      <c r="G400" s="494"/>
      <c r="H400" s="494"/>
      <c r="I400" s="494"/>
      <c r="J400" s="495" t="s">
        <v>665</v>
      </c>
      <c r="K400" s="579">
        <v>165000</v>
      </c>
      <c r="L400" s="579">
        <v>15000</v>
      </c>
      <c r="M400" s="496">
        <v>100000</v>
      </c>
      <c r="N400" s="496"/>
      <c r="O400" s="496">
        <v>100000</v>
      </c>
      <c r="P400" s="496"/>
      <c r="Q400" s="496">
        <f>M400+X400</f>
        <v>132292</v>
      </c>
      <c r="R400" s="496">
        <f>N400+Y400</f>
        <v>0</v>
      </c>
      <c r="S400" s="496">
        <v>55000</v>
      </c>
      <c r="T400" s="496">
        <v>5000</v>
      </c>
      <c r="U400" s="496"/>
      <c r="V400" s="496"/>
      <c r="W400" s="496">
        <f>100000+32292+2708+2000</f>
        <v>137000</v>
      </c>
      <c r="X400" s="579">
        <v>32292</v>
      </c>
      <c r="Y400" s="496"/>
      <c r="Z400" s="496"/>
      <c r="AA400" s="496"/>
      <c r="AB400" s="520">
        <f>16001+AC400</f>
        <v>18001</v>
      </c>
      <c r="AC400" s="520">
        <v>2000</v>
      </c>
      <c r="AD400" s="496"/>
      <c r="AE400" s="496"/>
      <c r="AF400" s="520">
        <v>2000</v>
      </c>
      <c r="AG400" s="520">
        <v>2000</v>
      </c>
      <c r="AH400" s="496">
        <f t="shared" ref="AH400:AH426" si="446">X400+AB400</f>
        <v>50293</v>
      </c>
      <c r="AI400" s="496">
        <f t="shared" ref="AI400:AI426" si="447">Y400+AC400</f>
        <v>2000</v>
      </c>
      <c r="AJ400" s="496"/>
      <c r="AK400" s="496"/>
      <c r="AL400" s="496">
        <f t="shared" ref="AL400:AL441" si="448">AP400</f>
        <v>3000</v>
      </c>
      <c r="AM400" s="496">
        <f>T400-AI400</f>
        <v>3000</v>
      </c>
      <c r="AN400" s="496">
        <f t="shared" ref="AN400:AN441" si="449">AR400</f>
        <v>0</v>
      </c>
      <c r="AO400" s="496">
        <f t="shared" ref="AO400:AO441" si="450">AS400</f>
        <v>0</v>
      </c>
      <c r="AP400" s="496">
        <f>AQ400</f>
        <v>3000</v>
      </c>
      <c r="AQ400" s="496">
        <f>AM400</f>
        <v>3000</v>
      </c>
      <c r="AR400" s="496"/>
      <c r="AS400" s="496">
        <v>0</v>
      </c>
      <c r="AT400" s="553" t="s">
        <v>666</v>
      </c>
      <c r="AU400" s="484">
        <f t="shared" si="439"/>
        <v>0</v>
      </c>
      <c r="AV400" s="484">
        <f t="shared" ref="AV400:AV411" si="451">V400-AA400</f>
        <v>0</v>
      </c>
      <c r="AW400" s="553"/>
      <c r="AX400" s="548"/>
      <c r="BC400" s="656"/>
      <c r="BD400" s="82">
        <f t="shared" ref="BD400:BD408" si="452">T400-BC400</f>
        <v>5000</v>
      </c>
      <c r="BG400" s="488">
        <f t="shared" si="440"/>
        <v>0</v>
      </c>
    </row>
    <row r="401" spans="1:59" s="82" customFormat="1" ht="59.25" customHeight="1">
      <c r="A401" s="559" t="s">
        <v>79</v>
      </c>
      <c r="B401" s="599" t="s">
        <v>667</v>
      </c>
      <c r="C401" s="494" t="s">
        <v>595</v>
      </c>
      <c r="D401" s="494"/>
      <c r="E401" s="494" t="s">
        <v>1020</v>
      </c>
      <c r="F401" s="494"/>
      <c r="G401" s="494"/>
      <c r="H401" s="494"/>
      <c r="I401" s="494" t="s">
        <v>1082</v>
      </c>
      <c r="J401" s="495" t="s">
        <v>1081</v>
      </c>
      <c r="K401" s="520">
        <v>86000</v>
      </c>
      <c r="L401" s="496">
        <v>33500</v>
      </c>
      <c r="M401" s="520">
        <v>52500</v>
      </c>
      <c r="N401" s="520"/>
      <c r="O401" s="520">
        <v>52500</v>
      </c>
      <c r="P401" s="496"/>
      <c r="Q401" s="496">
        <f>M401+X401</f>
        <v>52500</v>
      </c>
      <c r="R401" s="496">
        <f>N401+Y401</f>
        <v>0</v>
      </c>
      <c r="S401" s="496">
        <f>T401</f>
        <v>30150</v>
      </c>
      <c r="T401" s="496">
        <f>L401*90%</f>
        <v>30150</v>
      </c>
      <c r="U401" s="496"/>
      <c r="V401" s="496"/>
      <c r="W401" s="496">
        <f>52500+6210</f>
        <v>58710</v>
      </c>
      <c r="X401" s="496"/>
      <c r="Y401" s="496"/>
      <c r="Z401" s="496"/>
      <c r="AA401" s="496"/>
      <c r="AB401" s="496">
        <v>10000</v>
      </c>
      <c r="AC401" s="496">
        <v>10000</v>
      </c>
      <c r="AD401" s="496"/>
      <c r="AE401" s="496"/>
      <c r="AF401" s="520">
        <v>0</v>
      </c>
      <c r="AG401" s="520">
        <v>5209.8363479999998</v>
      </c>
      <c r="AH401" s="496">
        <f t="shared" si="446"/>
        <v>10000</v>
      </c>
      <c r="AI401" s="496">
        <f t="shared" si="447"/>
        <v>10000</v>
      </c>
      <c r="AJ401" s="496"/>
      <c r="AK401" s="496"/>
      <c r="AL401" s="496">
        <f t="shared" si="448"/>
        <v>17000</v>
      </c>
      <c r="AM401" s="496">
        <f t="shared" ref="AM401:AM441" si="453">AQ401</f>
        <v>17000</v>
      </c>
      <c r="AN401" s="496">
        <f t="shared" si="449"/>
        <v>0</v>
      </c>
      <c r="AO401" s="496">
        <f t="shared" si="450"/>
        <v>0</v>
      </c>
      <c r="AP401" s="496">
        <f>AQ401</f>
        <v>17000</v>
      </c>
      <c r="AQ401" s="496">
        <v>17000</v>
      </c>
      <c r="AR401" s="496"/>
      <c r="AS401" s="496">
        <v>0</v>
      </c>
      <c r="AT401" s="536" t="s">
        <v>1085</v>
      </c>
      <c r="AU401" s="484">
        <f t="shared" si="439"/>
        <v>0</v>
      </c>
      <c r="AV401" s="484">
        <f t="shared" si="451"/>
        <v>0</v>
      </c>
      <c r="AW401" s="536"/>
      <c r="AX401" s="548"/>
      <c r="BC401" s="656">
        <v>33500</v>
      </c>
      <c r="BD401" s="82">
        <f t="shared" si="452"/>
        <v>-3350</v>
      </c>
      <c r="BG401" s="488">
        <f t="shared" si="440"/>
        <v>0</v>
      </c>
    </row>
    <row r="402" spans="1:59" s="81" customFormat="1" ht="59.25" customHeight="1">
      <c r="A402" s="556" t="s">
        <v>42</v>
      </c>
      <c r="B402" s="557" t="s">
        <v>45</v>
      </c>
      <c r="C402" s="480"/>
      <c r="D402" s="480"/>
      <c r="E402" s="480"/>
      <c r="F402" s="480"/>
      <c r="G402" s="480"/>
      <c r="H402" s="480"/>
      <c r="I402" s="480"/>
      <c r="J402" s="481"/>
      <c r="K402" s="519">
        <f t="shared" ref="K402:AI402" si="454">SUM(K403:K411)</f>
        <v>284789</v>
      </c>
      <c r="L402" s="519">
        <f t="shared" si="454"/>
        <v>130598</v>
      </c>
      <c r="M402" s="519">
        <f t="shared" si="454"/>
        <v>8412</v>
      </c>
      <c r="N402" s="519">
        <f t="shared" si="454"/>
        <v>6850</v>
      </c>
      <c r="O402" s="519">
        <f t="shared" si="454"/>
        <v>8412</v>
      </c>
      <c r="P402" s="519">
        <f t="shared" si="454"/>
        <v>6850</v>
      </c>
      <c r="Q402" s="519">
        <f t="shared" si="454"/>
        <v>34801</v>
      </c>
      <c r="R402" s="519">
        <f t="shared" si="454"/>
        <v>30239</v>
      </c>
      <c r="S402" s="519">
        <f t="shared" si="454"/>
        <v>256080.1</v>
      </c>
      <c r="T402" s="519">
        <f t="shared" si="454"/>
        <v>117938</v>
      </c>
      <c r="U402" s="519">
        <f t="shared" si="454"/>
        <v>0</v>
      </c>
      <c r="V402" s="519">
        <f t="shared" si="454"/>
        <v>1850</v>
      </c>
      <c r="W402" s="519">
        <f t="shared" si="454"/>
        <v>83638</v>
      </c>
      <c r="X402" s="519">
        <f t="shared" si="454"/>
        <v>26389</v>
      </c>
      <c r="Y402" s="519">
        <f t="shared" si="454"/>
        <v>23389</v>
      </c>
      <c r="Z402" s="519">
        <f t="shared" si="454"/>
        <v>0</v>
      </c>
      <c r="AA402" s="519">
        <f t="shared" si="454"/>
        <v>1850</v>
      </c>
      <c r="AB402" s="519">
        <f t="shared" si="454"/>
        <v>183551.9</v>
      </c>
      <c r="AC402" s="519">
        <f t="shared" si="454"/>
        <v>48522.9</v>
      </c>
      <c r="AD402" s="519">
        <f t="shared" si="454"/>
        <v>2500</v>
      </c>
      <c r="AE402" s="519">
        <f t="shared" si="454"/>
        <v>0</v>
      </c>
      <c r="AF402" s="519">
        <f t="shared" si="454"/>
        <v>15591.213</v>
      </c>
      <c r="AG402" s="519">
        <f t="shared" si="454"/>
        <v>20511.213000000003</v>
      </c>
      <c r="AH402" s="519">
        <f t="shared" si="454"/>
        <v>209940.9</v>
      </c>
      <c r="AI402" s="519">
        <f t="shared" si="454"/>
        <v>71554</v>
      </c>
      <c r="AJ402" s="519"/>
      <c r="AK402" s="519"/>
      <c r="AL402" s="519">
        <f t="shared" ref="AL402:AS402" si="455">SUM(AL403:AL411)</f>
        <v>37790</v>
      </c>
      <c r="AM402" s="519">
        <f t="shared" si="455"/>
        <v>37790</v>
      </c>
      <c r="AN402" s="519">
        <f t="shared" si="455"/>
        <v>0</v>
      </c>
      <c r="AO402" s="519">
        <f t="shared" si="455"/>
        <v>0</v>
      </c>
      <c r="AP402" s="519">
        <f t="shared" si="455"/>
        <v>37290</v>
      </c>
      <c r="AQ402" s="519">
        <f t="shared" si="455"/>
        <v>37290</v>
      </c>
      <c r="AR402" s="519">
        <f t="shared" si="455"/>
        <v>0</v>
      </c>
      <c r="AS402" s="519">
        <f t="shared" si="455"/>
        <v>0</v>
      </c>
      <c r="AT402" s="551"/>
      <c r="AU402" s="484">
        <f t="shared" si="439"/>
        <v>0</v>
      </c>
      <c r="AV402" s="489"/>
      <c r="AW402" s="551"/>
      <c r="AX402" s="537"/>
      <c r="BC402" s="707"/>
      <c r="BG402" s="488">
        <f t="shared" si="440"/>
        <v>500</v>
      </c>
    </row>
    <row r="403" spans="1:59" s="82" customFormat="1" ht="59.25" customHeight="1">
      <c r="A403" s="559" t="s">
        <v>37</v>
      </c>
      <c r="B403" s="583" t="s">
        <v>658</v>
      </c>
      <c r="C403" s="494" t="s">
        <v>595</v>
      </c>
      <c r="D403" s="494"/>
      <c r="E403" s="495" t="s">
        <v>1008</v>
      </c>
      <c r="F403" s="494"/>
      <c r="G403" s="494"/>
      <c r="H403" s="494"/>
      <c r="I403" s="494"/>
      <c r="J403" s="495" t="s">
        <v>1049</v>
      </c>
      <c r="K403" s="496">
        <v>28900</v>
      </c>
      <c r="L403" s="496">
        <v>27338</v>
      </c>
      <c r="M403" s="496">
        <v>8412</v>
      </c>
      <c r="N403" s="496">
        <v>6850</v>
      </c>
      <c r="O403" s="496">
        <v>8412</v>
      </c>
      <c r="P403" s="496">
        <v>6850</v>
      </c>
      <c r="Q403" s="496">
        <f>M403+X403</f>
        <v>12912</v>
      </c>
      <c r="R403" s="496">
        <f>N403+Y403</f>
        <v>11350</v>
      </c>
      <c r="S403" s="496">
        <f>T403</f>
        <v>20488</v>
      </c>
      <c r="T403" s="496">
        <v>20488</v>
      </c>
      <c r="U403" s="496">
        <v>0</v>
      </c>
      <c r="V403" s="496">
        <v>1850</v>
      </c>
      <c r="W403" s="496">
        <f>8412+4500+6000</f>
        <v>18912</v>
      </c>
      <c r="X403" s="496">
        <v>4500</v>
      </c>
      <c r="Y403" s="496">
        <v>4500</v>
      </c>
      <c r="Z403" s="496"/>
      <c r="AA403" s="496">
        <v>1850</v>
      </c>
      <c r="AB403" s="520">
        <v>6000</v>
      </c>
      <c r="AC403" s="520">
        <v>6000</v>
      </c>
      <c r="AD403" s="496"/>
      <c r="AE403" s="496"/>
      <c r="AF403" s="547">
        <v>2389.357</v>
      </c>
      <c r="AG403" s="547">
        <v>5389.357</v>
      </c>
      <c r="AH403" s="496">
        <f>X403+AB403</f>
        <v>10500</v>
      </c>
      <c r="AI403" s="496">
        <f>Y403+AC403</f>
        <v>10500</v>
      </c>
      <c r="AJ403" s="496"/>
      <c r="AK403" s="496"/>
      <c r="AL403" s="496">
        <f>AP403</f>
        <v>8000</v>
      </c>
      <c r="AM403" s="496">
        <f>AQ403</f>
        <v>8000</v>
      </c>
      <c r="AN403" s="496">
        <f>AR403</f>
        <v>0</v>
      </c>
      <c r="AO403" s="496">
        <f>AS403</f>
        <v>0</v>
      </c>
      <c r="AP403" s="496">
        <f t="shared" ref="AP403:AP408" si="456">AQ403</f>
        <v>8000</v>
      </c>
      <c r="AQ403" s="496">
        <v>8000</v>
      </c>
      <c r="AR403" s="496"/>
      <c r="AS403" s="496"/>
      <c r="AT403" s="536"/>
      <c r="AU403" s="484">
        <f t="shared" si="439"/>
        <v>0</v>
      </c>
      <c r="AV403" s="484">
        <f>V403-AA403</f>
        <v>0</v>
      </c>
      <c r="AW403" s="536"/>
      <c r="AX403" s="548"/>
      <c r="BC403" s="656">
        <v>17784</v>
      </c>
      <c r="BD403" s="82">
        <f>T403-BC403</f>
        <v>2704</v>
      </c>
      <c r="BG403" s="488">
        <f t="shared" si="440"/>
        <v>0</v>
      </c>
    </row>
    <row r="404" spans="1:59" s="82" customFormat="1" ht="59.25" customHeight="1">
      <c r="A404" s="543">
        <v>2</v>
      </c>
      <c r="B404" s="544" t="s">
        <v>668</v>
      </c>
      <c r="C404" s="494" t="s">
        <v>595</v>
      </c>
      <c r="D404" s="494"/>
      <c r="E404" s="494" t="s">
        <v>1009</v>
      </c>
      <c r="F404" s="494"/>
      <c r="G404" s="494"/>
      <c r="H404" s="494"/>
      <c r="I404" s="494"/>
      <c r="J404" s="495" t="s">
        <v>669</v>
      </c>
      <c r="K404" s="496">
        <v>17000</v>
      </c>
      <c r="L404" s="496">
        <v>14000</v>
      </c>
      <c r="M404" s="496">
        <v>0</v>
      </c>
      <c r="N404" s="496">
        <v>0</v>
      </c>
      <c r="O404" s="496">
        <v>0</v>
      </c>
      <c r="P404" s="496">
        <v>0</v>
      </c>
      <c r="Q404" s="496">
        <f t="shared" ref="Q404:R411" si="457">M404+X404</f>
        <v>3000</v>
      </c>
      <c r="R404" s="496">
        <f t="shared" si="457"/>
        <v>3000</v>
      </c>
      <c r="S404" s="496">
        <v>17000</v>
      </c>
      <c r="T404" s="496">
        <v>14000</v>
      </c>
      <c r="U404" s="496">
        <v>0</v>
      </c>
      <c r="V404" s="496"/>
      <c r="W404" s="496">
        <f>3000+3000</f>
        <v>6000</v>
      </c>
      <c r="X404" s="496">
        <v>3000</v>
      </c>
      <c r="Y404" s="496">
        <v>3000</v>
      </c>
      <c r="Z404" s="496"/>
      <c r="AA404" s="496"/>
      <c r="AB404" s="520">
        <v>3000</v>
      </c>
      <c r="AC404" s="520">
        <v>3000</v>
      </c>
      <c r="AD404" s="496"/>
      <c r="AE404" s="496"/>
      <c r="AF404" s="496"/>
      <c r="AG404" s="496"/>
      <c r="AH404" s="496">
        <f t="shared" si="446"/>
        <v>6000</v>
      </c>
      <c r="AI404" s="496">
        <f t="shared" si="447"/>
        <v>6000</v>
      </c>
      <c r="AJ404" s="496"/>
      <c r="AK404" s="496"/>
      <c r="AL404" s="496">
        <f>AM404</f>
        <v>8000</v>
      </c>
      <c r="AM404" s="496">
        <f>T404-AI404</f>
        <v>8000</v>
      </c>
      <c r="AN404" s="496">
        <f t="shared" si="449"/>
        <v>0</v>
      </c>
      <c r="AO404" s="496">
        <f t="shared" si="450"/>
        <v>0</v>
      </c>
      <c r="AP404" s="496">
        <f t="shared" si="456"/>
        <v>7500</v>
      </c>
      <c r="AQ404" s="496">
        <v>7500</v>
      </c>
      <c r="AR404" s="496"/>
      <c r="AS404" s="496"/>
      <c r="AT404" s="536" t="s">
        <v>670</v>
      </c>
      <c r="AU404" s="484">
        <f t="shared" si="439"/>
        <v>0</v>
      </c>
      <c r="AV404" s="484">
        <f t="shared" si="451"/>
        <v>0</v>
      </c>
      <c r="AW404" s="536"/>
      <c r="AX404" s="548"/>
      <c r="BC404" s="656">
        <v>12600</v>
      </c>
      <c r="BD404" s="82">
        <f t="shared" si="452"/>
        <v>1400</v>
      </c>
      <c r="BG404" s="488">
        <f t="shared" si="440"/>
        <v>500</v>
      </c>
    </row>
    <row r="405" spans="1:59" s="82" customFormat="1" ht="59.25" customHeight="1">
      <c r="A405" s="543">
        <v>3</v>
      </c>
      <c r="B405" s="554" t="s">
        <v>671</v>
      </c>
      <c r="C405" s="494" t="s">
        <v>595</v>
      </c>
      <c r="D405" s="494"/>
      <c r="E405" s="494" t="s">
        <v>1010</v>
      </c>
      <c r="F405" s="494"/>
      <c r="G405" s="494"/>
      <c r="H405" s="494"/>
      <c r="I405" s="494" t="s">
        <v>627</v>
      </c>
      <c r="J405" s="623" t="s">
        <v>962</v>
      </c>
      <c r="K405" s="496">
        <v>45600</v>
      </c>
      <c r="L405" s="496">
        <v>35000</v>
      </c>
      <c r="M405" s="496">
        <v>0</v>
      </c>
      <c r="N405" s="496">
        <v>0</v>
      </c>
      <c r="O405" s="496">
        <v>0</v>
      </c>
      <c r="P405" s="496">
        <v>0</v>
      </c>
      <c r="Q405" s="496">
        <f t="shared" si="457"/>
        <v>10694</v>
      </c>
      <c r="R405" s="496">
        <f t="shared" si="457"/>
        <v>10694</v>
      </c>
      <c r="S405" s="496">
        <v>41040</v>
      </c>
      <c r="T405" s="496">
        <v>35000</v>
      </c>
      <c r="U405" s="496">
        <v>0</v>
      </c>
      <c r="V405" s="496"/>
      <c r="W405" s="496">
        <f>10694+11945</f>
        <v>22639</v>
      </c>
      <c r="X405" s="496">
        <v>10694</v>
      </c>
      <c r="Y405" s="496">
        <v>10694</v>
      </c>
      <c r="Z405" s="496"/>
      <c r="AA405" s="496"/>
      <c r="AB405" s="520">
        <v>11945</v>
      </c>
      <c r="AC405" s="520">
        <v>11945</v>
      </c>
      <c r="AD405" s="496"/>
      <c r="AE405" s="496"/>
      <c r="AF405" s="520">
        <v>7663.3909999999996</v>
      </c>
      <c r="AG405" s="520">
        <v>7663.3909999999996</v>
      </c>
      <c r="AH405" s="496">
        <f t="shared" si="446"/>
        <v>22639</v>
      </c>
      <c r="AI405" s="496">
        <f t="shared" si="447"/>
        <v>22639</v>
      </c>
      <c r="AJ405" s="496"/>
      <c r="AK405" s="496"/>
      <c r="AL405" s="496">
        <f t="shared" si="448"/>
        <v>6500</v>
      </c>
      <c r="AM405" s="496">
        <f t="shared" si="453"/>
        <v>6500</v>
      </c>
      <c r="AN405" s="496">
        <f t="shared" si="449"/>
        <v>0</v>
      </c>
      <c r="AO405" s="496">
        <f t="shared" si="450"/>
        <v>0</v>
      </c>
      <c r="AP405" s="496">
        <f t="shared" si="456"/>
        <v>6500</v>
      </c>
      <c r="AQ405" s="496">
        <v>6500</v>
      </c>
      <c r="AR405" s="496"/>
      <c r="AS405" s="496"/>
      <c r="AT405" s="553"/>
      <c r="AU405" s="484">
        <f t="shared" si="439"/>
        <v>0</v>
      </c>
      <c r="AV405" s="484">
        <f t="shared" si="451"/>
        <v>0</v>
      </c>
      <c r="AW405" s="553">
        <f>AB405</f>
        <v>11945</v>
      </c>
      <c r="AX405" s="548">
        <f>T405</f>
        <v>35000</v>
      </c>
      <c r="AY405" s="82">
        <f>T405-AX405</f>
        <v>0</v>
      </c>
      <c r="BC405" s="656">
        <v>31500</v>
      </c>
      <c r="BD405" s="82">
        <v>1</v>
      </c>
      <c r="BE405" s="82">
        <v>1</v>
      </c>
      <c r="BF405" s="82">
        <f>AQ405</f>
        <v>6500</v>
      </c>
      <c r="BG405" s="488">
        <f t="shared" si="440"/>
        <v>0</v>
      </c>
    </row>
    <row r="406" spans="1:59" s="82" customFormat="1" ht="59.25" customHeight="1">
      <c r="A406" s="543">
        <v>4</v>
      </c>
      <c r="B406" s="544" t="s">
        <v>672</v>
      </c>
      <c r="C406" s="494" t="s">
        <v>595</v>
      </c>
      <c r="D406" s="494"/>
      <c r="E406" s="494" t="s">
        <v>1008</v>
      </c>
      <c r="F406" s="494"/>
      <c r="G406" s="494"/>
      <c r="H406" s="494"/>
      <c r="I406" s="494"/>
      <c r="J406" s="495" t="s">
        <v>673</v>
      </c>
      <c r="K406" s="496">
        <v>20000</v>
      </c>
      <c r="L406" s="496">
        <v>20000</v>
      </c>
      <c r="M406" s="496">
        <v>0</v>
      </c>
      <c r="N406" s="496">
        <v>0</v>
      </c>
      <c r="O406" s="496">
        <v>0</v>
      </c>
      <c r="P406" s="496">
        <v>0</v>
      </c>
      <c r="Q406" s="496">
        <f t="shared" si="457"/>
        <v>5000</v>
      </c>
      <c r="R406" s="496">
        <f t="shared" si="457"/>
        <v>5000</v>
      </c>
      <c r="S406" s="496">
        <v>18000</v>
      </c>
      <c r="T406" s="496">
        <v>18000</v>
      </c>
      <c r="U406" s="496">
        <v>0</v>
      </c>
      <c r="V406" s="496"/>
      <c r="W406" s="496">
        <f>5000+11000</f>
        <v>16000</v>
      </c>
      <c r="X406" s="496">
        <v>5000</v>
      </c>
      <c r="Y406" s="496">
        <v>5000</v>
      </c>
      <c r="Z406" s="496"/>
      <c r="AA406" s="496"/>
      <c r="AB406" s="520">
        <v>11000</v>
      </c>
      <c r="AC406" s="520">
        <v>11000</v>
      </c>
      <c r="AD406" s="496"/>
      <c r="AE406" s="496"/>
      <c r="AF406" s="520"/>
      <c r="AG406" s="520"/>
      <c r="AH406" s="496">
        <f t="shared" si="446"/>
        <v>16000</v>
      </c>
      <c r="AI406" s="496">
        <f t="shared" si="447"/>
        <v>16000</v>
      </c>
      <c r="AJ406" s="496"/>
      <c r="AK406" s="496"/>
      <c r="AL406" s="496">
        <f t="shared" si="448"/>
        <v>2000</v>
      </c>
      <c r="AM406" s="496">
        <f t="shared" si="453"/>
        <v>2000</v>
      </c>
      <c r="AN406" s="496">
        <f t="shared" si="449"/>
        <v>0</v>
      </c>
      <c r="AO406" s="496">
        <f t="shared" si="450"/>
        <v>0</v>
      </c>
      <c r="AP406" s="496">
        <f t="shared" si="456"/>
        <v>2000</v>
      </c>
      <c r="AQ406" s="496">
        <v>2000</v>
      </c>
      <c r="AR406" s="496"/>
      <c r="AS406" s="496"/>
      <c r="AT406" s="536" t="s">
        <v>1054</v>
      </c>
      <c r="AU406" s="484">
        <f t="shared" si="439"/>
        <v>0</v>
      </c>
      <c r="AV406" s="484">
        <f t="shared" si="451"/>
        <v>0</v>
      </c>
      <c r="AW406" s="517"/>
      <c r="AX406" s="548"/>
      <c r="AY406" s="82">
        <v>18000</v>
      </c>
      <c r="AZ406" s="82">
        <f>S406-AY406</f>
        <v>0</v>
      </c>
      <c r="BC406" s="656">
        <v>18000</v>
      </c>
      <c r="BD406" s="82">
        <f t="shared" si="452"/>
        <v>0</v>
      </c>
      <c r="BG406" s="488">
        <f t="shared" si="440"/>
        <v>0</v>
      </c>
    </row>
    <row r="407" spans="1:59" s="82" customFormat="1" ht="59.25" customHeight="1">
      <c r="A407" s="543">
        <v>5</v>
      </c>
      <c r="B407" s="552" t="s">
        <v>674</v>
      </c>
      <c r="C407" s="545" t="s">
        <v>333</v>
      </c>
      <c r="D407" s="545"/>
      <c r="E407" s="545" t="s">
        <v>968</v>
      </c>
      <c r="F407" s="545"/>
      <c r="G407" s="545"/>
      <c r="H407" s="545"/>
      <c r="I407" s="494"/>
      <c r="J407" s="495" t="s">
        <v>675</v>
      </c>
      <c r="K407" s="496">
        <v>11900</v>
      </c>
      <c r="L407" s="496">
        <v>4400</v>
      </c>
      <c r="M407" s="496"/>
      <c r="N407" s="496"/>
      <c r="O407" s="496"/>
      <c r="P407" s="496"/>
      <c r="Q407" s="496">
        <f t="shared" si="457"/>
        <v>3000</v>
      </c>
      <c r="R407" s="496">
        <f t="shared" si="457"/>
        <v>0</v>
      </c>
      <c r="S407" s="496">
        <v>11900</v>
      </c>
      <c r="T407" s="496">
        <v>4000</v>
      </c>
      <c r="U407" s="496">
        <v>0</v>
      </c>
      <c r="V407" s="496"/>
      <c r="W407" s="496">
        <f>3000+6000</f>
        <v>9000</v>
      </c>
      <c r="X407" s="496">
        <v>3000</v>
      </c>
      <c r="Y407" s="496"/>
      <c r="Z407" s="496"/>
      <c r="AA407" s="496"/>
      <c r="AB407" s="496">
        <f>AC407</f>
        <v>2357.9</v>
      </c>
      <c r="AC407" s="496">
        <v>2357.9</v>
      </c>
      <c r="AD407" s="496"/>
      <c r="AE407" s="496"/>
      <c r="AF407" s="496"/>
      <c r="AG407" s="496"/>
      <c r="AH407" s="496">
        <f t="shared" si="446"/>
        <v>5357.9</v>
      </c>
      <c r="AI407" s="496">
        <v>2000</v>
      </c>
      <c r="AJ407" s="496"/>
      <c r="AK407" s="496"/>
      <c r="AL407" s="496">
        <f t="shared" si="448"/>
        <v>2000</v>
      </c>
      <c r="AM407" s="496">
        <v>2000</v>
      </c>
      <c r="AN407" s="496">
        <f t="shared" si="449"/>
        <v>0</v>
      </c>
      <c r="AO407" s="496">
        <f t="shared" si="450"/>
        <v>0</v>
      </c>
      <c r="AP407" s="496">
        <f t="shared" si="456"/>
        <v>2000</v>
      </c>
      <c r="AQ407" s="496">
        <v>2000</v>
      </c>
      <c r="AR407" s="496"/>
      <c r="AS407" s="496"/>
      <c r="AT407" s="536"/>
      <c r="AU407" s="484">
        <f t="shared" si="439"/>
        <v>0</v>
      </c>
      <c r="AV407" s="484">
        <f>V407-AA407</f>
        <v>0</v>
      </c>
      <c r="AW407" s="536"/>
      <c r="AX407" s="548"/>
      <c r="AY407" s="656">
        <v>4600</v>
      </c>
      <c r="AZ407" s="82">
        <v>4400</v>
      </c>
      <c r="BA407" s="82">
        <f>T407-AZ407</f>
        <v>-400</v>
      </c>
      <c r="BD407" s="656">
        <v>4400</v>
      </c>
      <c r="BG407" s="488">
        <f t="shared" si="440"/>
        <v>0</v>
      </c>
    </row>
    <row r="408" spans="1:59" s="510" customFormat="1" ht="59.25" customHeight="1">
      <c r="A408" s="543">
        <v>6</v>
      </c>
      <c r="B408" s="565" t="s">
        <v>676</v>
      </c>
      <c r="C408" s="494" t="s">
        <v>595</v>
      </c>
      <c r="D408" s="494"/>
      <c r="E408" s="494" t="s">
        <v>1011</v>
      </c>
      <c r="F408" s="494"/>
      <c r="G408" s="494"/>
      <c r="H408" s="503"/>
      <c r="I408" s="503"/>
      <c r="J408" s="495" t="s">
        <v>677</v>
      </c>
      <c r="K408" s="496">
        <v>14950</v>
      </c>
      <c r="L408" s="496">
        <v>14950</v>
      </c>
      <c r="M408" s="496"/>
      <c r="N408" s="496"/>
      <c r="O408" s="496"/>
      <c r="P408" s="496"/>
      <c r="Q408" s="496">
        <f t="shared" si="457"/>
        <v>195</v>
      </c>
      <c r="R408" s="496">
        <f t="shared" si="457"/>
        <v>195</v>
      </c>
      <c r="S408" s="496">
        <f>T408</f>
        <v>14950</v>
      </c>
      <c r="T408" s="496">
        <v>14950</v>
      </c>
      <c r="U408" s="496">
        <v>0</v>
      </c>
      <c r="V408" s="496"/>
      <c r="W408" s="496">
        <v>8000</v>
      </c>
      <c r="X408" s="496">
        <v>195</v>
      </c>
      <c r="Y408" s="496">
        <v>195</v>
      </c>
      <c r="Z408" s="496"/>
      <c r="AA408" s="496"/>
      <c r="AB408" s="496">
        <v>8000</v>
      </c>
      <c r="AC408" s="496">
        <v>8000</v>
      </c>
      <c r="AD408" s="496">
        <v>2500</v>
      </c>
      <c r="AE408" s="496"/>
      <c r="AF408" s="520">
        <v>5421.3490000000002</v>
      </c>
      <c r="AG408" s="520">
        <v>5421.3490000000002</v>
      </c>
      <c r="AH408" s="496">
        <f t="shared" si="446"/>
        <v>8195</v>
      </c>
      <c r="AI408" s="496">
        <f t="shared" si="447"/>
        <v>8195</v>
      </c>
      <c r="AJ408" s="496"/>
      <c r="AK408" s="496"/>
      <c r="AL408" s="496">
        <f t="shared" si="448"/>
        <v>6600</v>
      </c>
      <c r="AM408" s="496">
        <f t="shared" si="453"/>
        <v>6600</v>
      </c>
      <c r="AN408" s="496">
        <f t="shared" si="449"/>
        <v>0</v>
      </c>
      <c r="AO408" s="496">
        <f t="shared" si="450"/>
        <v>0</v>
      </c>
      <c r="AP408" s="496">
        <f t="shared" si="456"/>
        <v>6600</v>
      </c>
      <c r="AQ408" s="496">
        <v>6600</v>
      </c>
      <c r="AR408" s="496"/>
      <c r="AS408" s="496"/>
      <c r="AT408" s="536"/>
      <c r="AU408" s="484">
        <f t="shared" si="439"/>
        <v>0</v>
      </c>
      <c r="AV408" s="484">
        <f t="shared" si="451"/>
        <v>0</v>
      </c>
      <c r="AW408" s="553"/>
      <c r="AX408" s="572"/>
      <c r="AY408" s="510">
        <v>13455</v>
      </c>
      <c r="AZ408" s="82">
        <f>S408-AY408</f>
        <v>1495</v>
      </c>
      <c r="BC408" s="656">
        <v>13455</v>
      </c>
      <c r="BD408" s="82">
        <f t="shared" si="452"/>
        <v>1495</v>
      </c>
      <c r="BG408" s="488">
        <f t="shared" si="440"/>
        <v>0</v>
      </c>
    </row>
    <row r="409" spans="1:59" s="82" customFormat="1" ht="59.25" customHeight="1">
      <c r="A409" s="543">
        <v>7</v>
      </c>
      <c r="B409" s="554" t="s">
        <v>680</v>
      </c>
      <c r="C409" s="494" t="s">
        <v>595</v>
      </c>
      <c r="D409" s="494"/>
      <c r="E409" s="494" t="s">
        <v>1012</v>
      </c>
      <c r="F409" s="494"/>
      <c r="G409" s="494"/>
      <c r="H409" s="545"/>
      <c r="I409" s="494"/>
      <c r="J409" s="495" t="s">
        <v>681</v>
      </c>
      <c r="K409" s="520">
        <v>4070</v>
      </c>
      <c r="L409" s="520">
        <v>4070</v>
      </c>
      <c r="M409" s="496"/>
      <c r="N409" s="496"/>
      <c r="O409" s="496"/>
      <c r="P409" s="496"/>
      <c r="Q409" s="496">
        <f t="shared" si="457"/>
        <v>0</v>
      </c>
      <c r="R409" s="496">
        <f t="shared" si="457"/>
        <v>0</v>
      </c>
      <c r="S409" s="496">
        <f>T409</f>
        <v>4070</v>
      </c>
      <c r="T409" s="496">
        <v>4070</v>
      </c>
      <c r="U409" s="496">
        <v>0</v>
      </c>
      <c r="V409" s="496"/>
      <c r="W409" s="496">
        <v>1087</v>
      </c>
      <c r="X409" s="496"/>
      <c r="Y409" s="496"/>
      <c r="Z409" s="496"/>
      <c r="AA409" s="496"/>
      <c r="AB409" s="520">
        <v>1880</v>
      </c>
      <c r="AC409" s="520">
        <v>1880</v>
      </c>
      <c r="AD409" s="496"/>
      <c r="AE409" s="496"/>
      <c r="AF409" s="520">
        <v>117.116</v>
      </c>
      <c r="AG409" s="520">
        <v>1087.116</v>
      </c>
      <c r="AH409" s="496">
        <f t="shared" si="446"/>
        <v>1880</v>
      </c>
      <c r="AI409" s="496">
        <f t="shared" si="447"/>
        <v>1880</v>
      </c>
      <c r="AJ409" s="496"/>
      <c r="AK409" s="496"/>
      <c r="AL409" s="496">
        <f t="shared" si="448"/>
        <v>2190</v>
      </c>
      <c r="AM409" s="496">
        <f t="shared" si="453"/>
        <v>2190</v>
      </c>
      <c r="AN409" s="496">
        <f t="shared" si="449"/>
        <v>0</v>
      </c>
      <c r="AO409" s="496">
        <f t="shared" si="450"/>
        <v>0</v>
      </c>
      <c r="AP409" s="496">
        <f t="shared" ref="AP409" si="458">AQ409</f>
        <v>2190</v>
      </c>
      <c r="AQ409" s="496">
        <v>2190</v>
      </c>
      <c r="AR409" s="496"/>
      <c r="AS409" s="496"/>
      <c r="AT409" s="536"/>
      <c r="AU409" s="484">
        <f t="shared" si="439"/>
        <v>0</v>
      </c>
      <c r="AV409" s="484">
        <f t="shared" si="451"/>
        <v>0</v>
      </c>
      <c r="AW409" s="553"/>
      <c r="AX409" s="548"/>
      <c r="AY409" s="656">
        <v>3663.0000000000005</v>
      </c>
      <c r="AZ409" s="82">
        <f t="shared" ref="AZ409:AZ421" si="459">T409-AY409</f>
        <v>406.99999999999955</v>
      </c>
      <c r="BA409" s="82">
        <f t="shared" ref="BA409:BA426" si="460">S409-AZ409</f>
        <v>3663.0000000000005</v>
      </c>
      <c r="BD409" s="656">
        <v>3663.0000000000005</v>
      </c>
      <c r="BG409" s="488">
        <f t="shared" si="440"/>
        <v>0</v>
      </c>
    </row>
    <row r="410" spans="1:59" s="82" customFormat="1" ht="71.25" customHeight="1">
      <c r="A410" s="543">
        <v>8</v>
      </c>
      <c r="B410" s="599" t="s">
        <v>682</v>
      </c>
      <c r="C410" s="494" t="s">
        <v>595</v>
      </c>
      <c r="D410" s="494"/>
      <c r="E410" s="494" t="s">
        <v>1013</v>
      </c>
      <c r="F410" s="494"/>
      <c r="G410" s="494"/>
      <c r="H410" s="545"/>
      <c r="I410" s="494" t="s">
        <v>944</v>
      </c>
      <c r="J410" s="563" t="s">
        <v>683</v>
      </c>
      <c r="K410" s="496">
        <v>5000</v>
      </c>
      <c r="L410" s="496">
        <v>5000</v>
      </c>
      <c r="M410" s="496"/>
      <c r="N410" s="496"/>
      <c r="O410" s="496"/>
      <c r="P410" s="496"/>
      <c r="Q410" s="496">
        <f t="shared" si="457"/>
        <v>0</v>
      </c>
      <c r="R410" s="496">
        <f t="shared" si="457"/>
        <v>0</v>
      </c>
      <c r="S410" s="496">
        <f>T410</f>
        <v>5000</v>
      </c>
      <c r="T410" s="496">
        <v>5000</v>
      </c>
      <c r="U410" s="496">
        <v>0</v>
      </c>
      <c r="V410" s="496"/>
      <c r="W410" s="496">
        <v>2000</v>
      </c>
      <c r="X410" s="496"/>
      <c r="Y410" s="496"/>
      <c r="Z410" s="496"/>
      <c r="AA410" s="496"/>
      <c r="AB410" s="520">
        <v>2000</v>
      </c>
      <c r="AC410" s="520">
        <v>2000</v>
      </c>
      <c r="AD410" s="496"/>
      <c r="AE410" s="496"/>
      <c r="AF410" s="520">
        <v>0</v>
      </c>
      <c r="AG410" s="520">
        <v>950</v>
      </c>
      <c r="AH410" s="496">
        <f t="shared" si="446"/>
        <v>2000</v>
      </c>
      <c r="AI410" s="496">
        <f t="shared" si="447"/>
        <v>2000</v>
      </c>
      <c r="AJ410" s="496"/>
      <c r="AK410" s="496"/>
      <c r="AL410" s="496">
        <f t="shared" si="448"/>
        <v>2500</v>
      </c>
      <c r="AM410" s="496">
        <f t="shared" si="453"/>
        <v>2500</v>
      </c>
      <c r="AN410" s="496">
        <f t="shared" si="449"/>
        <v>0</v>
      </c>
      <c r="AO410" s="496">
        <f t="shared" si="450"/>
        <v>0</v>
      </c>
      <c r="AP410" s="496">
        <f>AQ410</f>
        <v>2500</v>
      </c>
      <c r="AQ410" s="496">
        <v>2500</v>
      </c>
      <c r="AR410" s="496"/>
      <c r="AS410" s="496"/>
      <c r="AT410" s="536"/>
      <c r="AU410" s="484">
        <f t="shared" si="439"/>
        <v>0</v>
      </c>
      <c r="AV410" s="484">
        <f t="shared" si="451"/>
        <v>0</v>
      </c>
      <c r="AW410" s="536"/>
      <c r="AX410" s="548"/>
      <c r="AY410" s="656">
        <v>4500</v>
      </c>
      <c r="AZ410" s="82">
        <f t="shared" si="459"/>
        <v>500</v>
      </c>
      <c r="BA410" s="82">
        <f t="shared" si="460"/>
        <v>4500</v>
      </c>
      <c r="BD410" s="656">
        <v>4500</v>
      </c>
      <c r="BG410" s="488">
        <f t="shared" si="440"/>
        <v>0</v>
      </c>
    </row>
    <row r="411" spans="1:59" s="510" customFormat="1" ht="66.75" customHeight="1">
      <c r="A411" s="543">
        <v>10</v>
      </c>
      <c r="B411" s="560" t="s">
        <v>767</v>
      </c>
      <c r="C411" s="494" t="s">
        <v>595</v>
      </c>
      <c r="D411" s="494"/>
      <c r="E411" s="494"/>
      <c r="F411" s="494"/>
      <c r="G411" s="494"/>
      <c r="H411" s="503"/>
      <c r="I411" s="503"/>
      <c r="J411" s="563"/>
      <c r="K411" s="496">
        <v>137369</v>
      </c>
      <c r="L411" s="496">
        <f>2340+3500</f>
        <v>5840</v>
      </c>
      <c r="M411" s="496"/>
      <c r="N411" s="496"/>
      <c r="O411" s="496"/>
      <c r="P411" s="496"/>
      <c r="Q411" s="496">
        <f t="shared" si="457"/>
        <v>0</v>
      </c>
      <c r="R411" s="496">
        <f t="shared" si="457"/>
        <v>0</v>
      </c>
      <c r="S411" s="496">
        <v>123632.1</v>
      </c>
      <c r="T411" s="496">
        <v>2430</v>
      </c>
      <c r="U411" s="496"/>
      <c r="V411" s="496"/>
      <c r="W411" s="496"/>
      <c r="X411" s="496"/>
      <c r="Y411" s="496"/>
      <c r="Z411" s="496"/>
      <c r="AA411" s="496"/>
      <c r="AB411" s="496">
        <v>137369</v>
      </c>
      <c r="AC411" s="496">
        <v>2340</v>
      </c>
      <c r="AD411" s="496"/>
      <c r="AE411" s="496"/>
      <c r="AF411" s="496"/>
      <c r="AG411" s="496"/>
      <c r="AH411" s="496">
        <f t="shared" si="446"/>
        <v>137369</v>
      </c>
      <c r="AI411" s="496">
        <f t="shared" si="447"/>
        <v>2340</v>
      </c>
      <c r="AJ411" s="496"/>
      <c r="AK411" s="496"/>
      <c r="AL411" s="496"/>
      <c r="AM411" s="496"/>
      <c r="AN411" s="496"/>
      <c r="AO411" s="496"/>
      <c r="AP411" s="496"/>
      <c r="AQ411" s="496"/>
      <c r="AR411" s="496"/>
      <c r="AS411" s="496"/>
      <c r="AT411" s="536"/>
      <c r="AU411" s="484">
        <f t="shared" si="439"/>
        <v>0</v>
      </c>
      <c r="AV411" s="484">
        <f t="shared" si="451"/>
        <v>0</v>
      </c>
      <c r="AW411" s="536">
        <f>AC411</f>
        <v>2340</v>
      </c>
      <c r="AX411" s="548">
        <f>T411</f>
        <v>2430</v>
      </c>
      <c r="AY411" s="656">
        <v>2340</v>
      </c>
      <c r="AZ411" s="82">
        <f t="shared" si="459"/>
        <v>90</v>
      </c>
      <c r="BA411" s="82">
        <f t="shared" si="460"/>
        <v>123542.1</v>
      </c>
      <c r="BD411" s="656">
        <v>2106</v>
      </c>
      <c r="BE411" s="510">
        <v>1</v>
      </c>
      <c r="BF411" s="510">
        <f>AQ411</f>
        <v>0</v>
      </c>
      <c r="BG411" s="488">
        <f t="shared" si="440"/>
        <v>0</v>
      </c>
    </row>
    <row r="412" spans="1:59" s="80" customFormat="1" ht="59.25" customHeight="1">
      <c r="A412" s="478" t="s">
        <v>279</v>
      </c>
      <c r="B412" s="539" t="s">
        <v>288</v>
      </c>
      <c r="C412" s="480"/>
      <c r="D412" s="480"/>
      <c r="E412" s="480"/>
      <c r="F412" s="480"/>
      <c r="G412" s="480"/>
      <c r="H412" s="526"/>
      <c r="I412" s="526"/>
      <c r="J412" s="558"/>
      <c r="K412" s="482">
        <f>K413+K417</f>
        <v>1364296.8</v>
      </c>
      <c r="L412" s="482">
        <f t="shared" ref="L412:AS412" si="461">L413+L417</f>
        <v>361461</v>
      </c>
      <c r="M412" s="482">
        <f t="shared" si="461"/>
        <v>75980</v>
      </c>
      <c r="N412" s="482">
        <f t="shared" si="461"/>
        <v>7000</v>
      </c>
      <c r="O412" s="482">
        <f t="shared" si="461"/>
        <v>75980</v>
      </c>
      <c r="P412" s="482">
        <f t="shared" si="461"/>
        <v>32000</v>
      </c>
      <c r="Q412" s="482">
        <f t="shared" si="461"/>
        <v>129538</v>
      </c>
      <c r="R412" s="482">
        <f t="shared" si="461"/>
        <v>40558</v>
      </c>
      <c r="S412" s="482">
        <f t="shared" si="461"/>
        <v>512109.5</v>
      </c>
      <c r="T412" s="482">
        <f t="shared" si="461"/>
        <v>196713.60000000001</v>
      </c>
      <c r="U412" s="482">
        <f t="shared" si="461"/>
        <v>0</v>
      </c>
      <c r="V412" s="482">
        <f t="shared" si="461"/>
        <v>0</v>
      </c>
      <c r="W412" s="482">
        <f t="shared" ref="W412" si="462">W413+W417</f>
        <v>182127</v>
      </c>
      <c r="X412" s="482">
        <f t="shared" si="461"/>
        <v>53558</v>
      </c>
      <c r="Y412" s="482">
        <f t="shared" si="461"/>
        <v>33558</v>
      </c>
      <c r="Z412" s="482">
        <f t="shared" si="461"/>
        <v>0</v>
      </c>
      <c r="AA412" s="482">
        <f t="shared" si="461"/>
        <v>0</v>
      </c>
      <c r="AB412" s="482">
        <f t="shared" si="461"/>
        <v>53206</v>
      </c>
      <c r="AC412" s="482">
        <f t="shared" si="461"/>
        <v>37589</v>
      </c>
      <c r="AD412" s="482">
        <f t="shared" si="461"/>
        <v>1000</v>
      </c>
      <c r="AE412" s="482">
        <f t="shared" si="461"/>
        <v>0</v>
      </c>
      <c r="AF412" s="482">
        <f t="shared" si="461"/>
        <v>20329.908262999998</v>
      </c>
      <c r="AG412" s="482">
        <f t="shared" si="461"/>
        <v>29882.908262999998</v>
      </c>
      <c r="AH412" s="482">
        <f t="shared" si="461"/>
        <v>106764</v>
      </c>
      <c r="AI412" s="482">
        <f t="shared" si="461"/>
        <v>71147</v>
      </c>
      <c r="AJ412" s="482"/>
      <c r="AK412" s="482"/>
      <c r="AL412" s="482">
        <f t="shared" si="461"/>
        <v>53617</v>
      </c>
      <c r="AM412" s="482">
        <f t="shared" si="461"/>
        <v>25000</v>
      </c>
      <c r="AN412" s="482">
        <f t="shared" si="461"/>
        <v>0</v>
      </c>
      <c r="AO412" s="482">
        <f t="shared" si="461"/>
        <v>0</v>
      </c>
      <c r="AP412" s="482">
        <f t="shared" si="461"/>
        <v>103617</v>
      </c>
      <c r="AQ412" s="482">
        <f t="shared" si="461"/>
        <v>75000</v>
      </c>
      <c r="AR412" s="482">
        <f t="shared" si="461"/>
        <v>50000</v>
      </c>
      <c r="AS412" s="482">
        <f t="shared" si="461"/>
        <v>0</v>
      </c>
      <c r="AT412" s="551"/>
      <c r="AU412" s="484">
        <f t="shared" si="439"/>
        <v>28617</v>
      </c>
      <c r="AV412" s="489"/>
      <c r="AW412" s="551"/>
      <c r="AX412" s="537"/>
      <c r="AY412" s="707"/>
      <c r="AZ412" s="81"/>
      <c r="BA412" s="81"/>
      <c r="BD412" s="707"/>
      <c r="BG412" s="488">
        <f t="shared" si="440"/>
        <v>-21383</v>
      </c>
    </row>
    <row r="413" spans="1:59" s="80" customFormat="1" ht="59.25" customHeight="1">
      <c r="A413" s="556" t="s">
        <v>35</v>
      </c>
      <c r="B413" s="557" t="s">
        <v>43</v>
      </c>
      <c r="C413" s="480"/>
      <c r="D413" s="480"/>
      <c r="E413" s="480"/>
      <c r="F413" s="480"/>
      <c r="G413" s="480"/>
      <c r="H413" s="526"/>
      <c r="I413" s="526"/>
      <c r="J413" s="558"/>
      <c r="K413" s="482">
        <f>K414+K415+K416</f>
        <v>1025125</v>
      </c>
      <c r="L413" s="482">
        <f t="shared" ref="L413:AS413" si="463">L414+L415+L416</f>
        <v>205461</v>
      </c>
      <c r="M413" s="482">
        <f t="shared" si="463"/>
        <v>52385</v>
      </c>
      <c r="N413" s="482">
        <f t="shared" si="463"/>
        <v>7000</v>
      </c>
      <c r="O413" s="482">
        <f t="shared" si="463"/>
        <v>52385</v>
      </c>
      <c r="P413" s="482">
        <f t="shared" si="463"/>
        <v>32000</v>
      </c>
      <c r="Q413" s="482">
        <f t="shared" si="463"/>
        <v>105663</v>
      </c>
      <c r="R413" s="482">
        <f t="shared" si="463"/>
        <v>40278</v>
      </c>
      <c r="S413" s="482">
        <f t="shared" si="463"/>
        <v>295810.5</v>
      </c>
      <c r="T413" s="482">
        <f t="shared" si="463"/>
        <v>112551.6</v>
      </c>
      <c r="U413" s="482">
        <f t="shared" si="463"/>
        <v>0</v>
      </c>
      <c r="V413" s="482">
        <f t="shared" si="463"/>
        <v>0</v>
      </c>
      <c r="W413" s="482">
        <f t="shared" si="463"/>
        <v>151663</v>
      </c>
      <c r="X413" s="482">
        <f t="shared" si="463"/>
        <v>53278</v>
      </c>
      <c r="Y413" s="482">
        <f t="shared" si="463"/>
        <v>33278</v>
      </c>
      <c r="Z413" s="482">
        <f t="shared" si="463"/>
        <v>0</v>
      </c>
      <c r="AA413" s="482">
        <f t="shared" si="463"/>
        <v>0</v>
      </c>
      <c r="AB413" s="482">
        <f t="shared" si="463"/>
        <v>45000</v>
      </c>
      <c r="AC413" s="482">
        <f t="shared" si="463"/>
        <v>31000</v>
      </c>
      <c r="AD413" s="482">
        <f t="shared" si="463"/>
        <v>1000</v>
      </c>
      <c r="AE413" s="482">
        <f t="shared" si="463"/>
        <v>0</v>
      </c>
      <c r="AF413" s="482">
        <f t="shared" si="463"/>
        <v>19359.887999999999</v>
      </c>
      <c r="AG413" s="482">
        <f t="shared" si="463"/>
        <v>26512.887999999999</v>
      </c>
      <c r="AH413" s="482">
        <f t="shared" si="463"/>
        <v>98278</v>
      </c>
      <c r="AI413" s="482">
        <f t="shared" si="463"/>
        <v>64278</v>
      </c>
      <c r="AJ413" s="482">
        <f t="shared" si="463"/>
        <v>0</v>
      </c>
      <c r="AK413" s="482">
        <f t="shared" si="463"/>
        <v>0</v>
      </c>
      <c r="AL413" s="482">
        <f t="shared" si="463"/>
        <v>44000</v>
      </c>
      <c r="AM413" s="482">
        <f t="shared" si="463"/>
        <v>17000</v>
      </c>
      <c r="AN413" s="482">
        <f t="shared" si="463"/>
        <v>0</v>
      </c>
      <c r="AO413" s="482">
        <f t="shared" si="463"/>
        <v>0</v>
      </c>
      <c r="AP413" s="482">
        <f t="shared" si="463"/>
        <v>44000</v>
      </c>
      <c r="AQ413" s="482">
        <f>AQ414+AQ415+AQ416</f>
        <v>17000</v>
      </c>
      <c r="AR413" s="482">
        <f t="shared" si="463"/>
        <v>0</v>
      </c>
      <c r="AS413" s="482">
        <f t="shared" si="463"/>
        <v>0</v>
      </c>
      <c r="AT413" s="551"/>
      <c r="AU413" s="484">
        <f t="shared" si="439"/>
        <v>27000</v>
      </c>
      <c r="AV413" s="489"/>
      <c r="AW413" s="551"/>
      <c r="AX413" s="537"/>
      <c r="AY413" s="707"/>
      <c r="AZ413" s="81"/>
      <c r="BA413" s="81"/>
      <c r="BD413" s="707"/>
      <c r="BG413" s="488">
        <f t="shared" si="440"/>
        <v>27000</v>
      </c>
    </row>
    <row r="414" spans="1:59" s="82" customFormat="1" ht="59.25" customHeight="1">
      <c r="A414" s="543">
        <v>1</v>
      </c>
      <c r="B414" s="552" t="s">
        <v>678</v>
      </c>
      <c r="C414" s="494" t="s">
        <v>595</v>
      </c>
      <c r="D414" s="494"/>
      <c r="E414" s="494" t="s">
        <v>1014</v>
      </c>
      <c r="F414" s="494"/>
      <c r="G414" s="494"/>
      <c r="H414" s="708"/>
      <c r="I414" s="494" t="s">
        <v>296</v>
      </c>
      <c r="J414" s="495" t="s">
        <v>679</v>
      </c>
      <c r="K414" s="496">
        <v>62315</v>
      </c>
      <c r="L414" s="496">
        <v>18694</v>
      </c>
      <c r="M414" s="496"/>
      <c r="N414" s="496"/>
      <c r="O414" s="496"/>
      <c r="P414" s="496"/>
      <c r="Q414" s="496">
        <f>M414+X414</f>
        <v>0</v>
      </c>
      <c r="R414" s="496">
        <f>N414+Y414</f>
        <v>0</v>
      </c>
      <c r="S414" s="496">
        <v>56083.5</v>
      </c>
      <c r="T414" s="496">
        <v>16824.599999999999</v>
      </c>
      <c r="U414" s="496"/>
      <c r="V414" s="496"/>
      <c r="W414" s="496">
        <v>12000</v>
      </c>
      <c r="X414" s="496"/>
      <c r="Y414" s="496"/>
      <c r="Z414" s="496"/>
      <c r="AA414" s="496"/>
      <c r="AB414" s="496">
        <v>12000</v>
      </c>
      <c r="AC414" s="496">
        <v>12000</v>
      </c>
      <c r="AD414" s="496">
        <v>1000</v>
      </c>
      <c r="AE414" s="496"/>
      <c r="AF414" s="520">
        <v>10965.888000000001</v>
      </c>
      <c r="AG414" s="520">
        <v>10965.888000000001</v>
      </c>
      <c r="AH414" s="496">
        <f>X414+AB414</f>
        <v>12000</v>
      </c>
      <c r="AI414" s="496">
        <f>Y414+AC414</f>
        <v>12000</v>
      </c>
      <c r="AJ414" s="496"/>
      <c r="AK414" s="496"/>
      <c r="AL414" s="496">
        <f t="shared" ref="AL414:AO416" si="464">AP414</f>
        <v>15000</v>
      </c>
      <c r="AM414" s="496">
        <f t="shared" si="464"/>
        <v>2000</v>
      </c>
      <c r="AN414" s="496">
        <f t="shared" si="464"/>
        <v>0</v>
      </c>
      <c r="AO414" s="496">
        <f t="shared" si="464"/>
        <v>0</v>
      </c>
      <c r="AP414" s="496">
        <f>AQ414+13000</f>
        <v>15000</v>
      </c>
      <c r="AQ414" s="496">
        <v>2000</v>
      </c>
      <c r="AR414" s="496"/>
      <c r="AS414" s="496"/>
      <c r="AT414" s="536" t="s">
        <v>1075</v>
      </c>
      <c r="AU414" s="484">
        <f t="shared" si="439"/>
        <v>13000</v>
      </c>
      <c r="AV414" s="484">
        <f>V414-AA414</f>
        <v>0</v>
      </c>
      <c r="AW414" s="494"/>
      <c r="AX414" s="548"/>
      <c r="AY414" s="656">
        <v>16824.599999999999</v>
      </c>
      <c r="AZ414" s="82">
        <f>T414-AY414</f>
        <v>0</v>
      </c>
      <c r="BA414" s="82">
        <f>T414-AZ414</f>
        <v>16824.599999999999</v>
      </c>
      <c r="BD414" s="656">
        <v>16824.599999999999</v>
      </c>
      <c r="BG414" s="488">
        <f t="shared" si="440"/>
        <v>13000</v>
      </c>
    </row>
    <row r="415" spans="1:59" s="82" customFormat="1" ht="59.25" customHeight="1">
      <c r="A415" s="559" t="s">
        <v>39</v>
      </c>
      <c r="B415" s="518" t="s">
        <v>659</v>
      </c>
      <c r="C415" s="494" t="s">
        <v>595</v>
      </c>
      <c r="D415" s="494"/>
      <c r="E415" s="494" t="s">
        <v>990</v>
      </c>
      <c r="F415" s="494"/>
      <c r="G415" s="494"/>
      <c r="H415" s="494"/>
      <c r="I415" s="494"/>
      <c r="J415" s="495" t="s">
        <v>660</v>
      </c>
      <c r="K415" s="496">
        <v>841000</v>
      </c>
      <c r="L415" s="496">
        <v>126150</v>
      </c>
      <c r="M415" s="496">
        <v>28000</v>
      </c>
      <c r="N415" s="496">
        <v>3000</v>
      </c>
      <c r="O415" s="496">
        <v>28000</v>
      </c>
      <c r="P415" s="496">
        <v>28000</v>
      </c>
      <c r="Q415" s="496">
        <f>M415+X415</f>
        <v>58000</v>
      </c>
      <c r="R415" s="496">
        <f>N415+Y415</f>
        <v>13000</v>
      </c>
      <c r="S415" s="496">
        <v>194000</v>
      </c>
      <c r="T415" s="496">
        <v>50000</v>
      </c>
      <c r="U415" s="496"/>
      <c r="V415" s="496"/>
      <c r="W415" s="496">
        <v>83000</v>
      </c>
      <c r="X415" s="496">
        <v>30000</v>
      </c>
      <c r="Y415" s="496">
        <v>10000</v>
      </c>
      <c r="Z415" s="496"/>
      <c r="AA415" s="496"/>
      <c r="AB415" s="520">
        <v>24000</v>
      </c>
      <c r="AC415" s="520">
        <v>10000</v>
      </c>
      <c r="AD415" s="496"/>
      <c r="AE415" s="496"/>
      <c r="AF415" s="520">
        <v>4614</v>
      </c>
      <c r="AG415" s="520">
        <v>6667</v>
      </c>
      <c r="AH415" s="496">
        <f>X415+AB415</f>
        <v>54000</v>
      </c>
      <c r="AI415" s="496">
        <f>Y415+AC415</f>
        <v>20000</v>
      </c>
      <c r="AJ415" s="496"/>
      <c r="AK415" s="496"/>
      <c r="AL415" s="496">
        <f t="shared" si="464"/>
        <v>23000</v>
      </c>
      <c r="AM415" s="496">
        <f t="shared" si="464"/>
        <v>9000</v>
      </c>
      <c r="AN415" s="496">
        <f t="shared" si="464"/>
        <v>0</v>
      </c>
      <c r="AO415" s="496">
        <f t="shared" si="464"/>
        <v>0</v>
      </c>
      <c r="AP415" s="496">
        <f>AQ415+14000</f>
        <v>23000</v>
      </c>
      <c r="AQ415" s="496">
        <v>9000</v>
      </c>
      <c r="AR415" s="496"/>
      <c r="AS415" s="496"/>
      <c r="AT415" s="536" t="s">
        <v>661</v>
      </c>
      <c r="AU415" s="484">
        <f>AP415-AQ415</f>
        <v>14000</v>
      </c>
      <c r="AV415" s="484">
        <f>V415-AA415</f>
        <v>0</v>
      </c>
      <c r="AW415" s="536"/>
      <c r="AX415" s="548"/>
      <c r="BC415" s="656">
        <v>50000</v>
      </c>
      <c r="BD415" s="82">
        <f>T415-BC415</f>
        <v>0</v>
      </c>
      <c r="BG415" s="488">
        <f t="shared" si="440"/>
        <v>14000</v>
      </c>
    </row>
    <row r="416" spans="1:59" s="82" customFormat="1" ht="59.25" customHeight="1">
      <c r="A416" s="559" t="s">
        <v>77</v>
      </c>
      <c r="B416" s="596" t="s">
        <v>657</v>
      </c>
      <c r="C416" s="494" t="s">
        <v>595</v>
      </c>
      <c r="D416" s="494"/>
      <c r="E416" s="494"/>
      <c r="F416" s="494"/>
      <c r="G416" s="494"/>
      <c r="H416" s="494"/>
      <c r="I416" s="494"/>
      <c r="J416" s="495" t="s">
        <v>1048</v>
      </c>
      <c r="K416" s="496">
        <v>121810</v>
      </c>
      <c r="L416" s="496">
        <v>60617</v>
      </c>
      <c r="M416" s="496">
        <v>24385</v>
      </c>
      <c r="N416" s="496">
        <v>4000</v>
      </c>
      <c r="O416" s="496">
        <v>24385</v>
      </c>
      <c r="P416" s="496">
        <v>4000</v>
      </c>
      <c r="Q416" s="496">
        <f t="shared" ref="Q416:R416" si="465">M416+X416</f>
        <v>47663</v>
      </c>
      <c r="R416" s="496">
        <f t="shared" si="465"/>
        <v>27278</v>
      </c>
      <c r="S416" s="496">
        <v>45727</v>
      </c>
      <c r="T416" s="496">
        <v>45727</v>
      </c>
      <c r="U416" s="496"/>
      <c r="V416" s="496"/>
      <c r="W416" s="496">
        <f>24385+23278+9000</f>
        <v>56663</v>
      </c>
      <c r="X416" s="496">
        <v>23278</v>
      </c>
      <c r="Y416" s="496">
        <v>23278</v>
      </c>
      <c r="Z416" s="496"/>
      <c r="AA416" s="496"/>
      <c r="AB416" s="520">
        <v>9000</v>
      </c>
      <c r="AC416" s="520">
        <v>9000</v>
      </c>
      <c r="AD416" s="496"/>
      <c r="AE416" s="496"/>
      <c r="AF416" s="547">
        <v>3780</v>
      </c>
      <c r="AG416" s="547">
        <v>8880</v>
      </c>
      <c r="AH416" s="496">
        <f t="shared" ref="AH416:AI416" si="466">X416+AB416</f>
        <v>32278</v>
      </c>
      <c r="AI416" s="496">
        <f t="shared" si="466"/>
        <v>32278</v>
      </c>
      <c r="AJ416" s="482"/>
      <c r="AK416" s="482"/>
      <c r="AL416" s="482">
        <f t="shared" si="464"/>
        <v>6000</v>
      </c>
      <c r="AM416" s="482">
        <f t="shared" si="464"/>
        <v>6000</v>
      </c>
      <c r="AN416" s="482">
        <f t="shared" si="464"/>
        <v>0</v>
      </c>
      <c r="AO416" s="482">
        <f t="shared" si="464"/>
        <v>0</v>
      </c>
      <c r="AP416" s="496">
        <f>AQ416</f>
        <v>6000</v>
      </c>
      <c r="AQ416" s="520">
        <v>6000</v>
      </c>
      <c r="AR416" s="496"/>
      <c r="AS416" s="496"/>
      <c r="AT416" s="536"/>
      <c r="AU416" s="484">
        <f t="shared" ref="AU416" si="467">AP416-AQ416</f>
        <v>0</v>
      </c>
      <c r="AV416" s="484">
        <f t="shared" ref="AV416" si="468">V416-AA416</f>
        <v>0</v>
      </c>
      <c r="AW416" s="536">
        <f>AC416</f>
        <v>9000</v>
      </c>
      <c r="AX416" s="548">
        <f>T416</f>
        <v>45727</v>
      </c>
      <c r="AY416" s="82">
        <f>T416-AX416</f>
        <v>0</v>
      </c>
      <c r="BC416" s="656">
        <v>32374</v>
      </c>
      <c r="BD416" s="82">
        <f t="shared" ref="BD416" si="469">T416-BC416</f>
        <v>13353</v>
      </c>
      <c r="BF416" s="82">
        <f>AQ416</f>
        <v>6000</v>
      </c>
      <c r="BG416" s="488">
        <f t="shared" si="440"/>
        <v>0</v>
      </c>
    </row>
    <row r="417" spans="1:59" s="81" customFormat="1" ht="59.25" customHeight="1">
      <c r="A417" s="556" t="s">
        <v>42</v>
      </c>
      <c r="B417" s="557" t="s">
        <v>743</v>
      </c>
      <c r="C417" s="480"/>
      <c r="D417" s="480"/>
      <c r="E417" s="480"/>
      <c r="F417" s="480"/>
      <c r="G417" s="480"/>
      <c r="H417" s="574"/>
      <c r="I417" s="480"/>
      <c r="J417" s="481"/>
      <c r="K417" s="482">
        <f t="shared" ref="K417:AS417" si="470">SUM(K418:K420)</f>
        <v>339171.8</v>
      </c>
      <c r="L417" s="482">
        <f t="shared" si="470"/>
        <v>156000</v>
      </c>
      <c r="M417" s="482">
        <f t="shared" si="470"/>
        <v>23595</v>
      </c>
      <c r="N417" s="482">
        <f t="shared" si="470"/>
        <v>0</v>
      </c>
      <c r="O417" s="482">
        <f t="shared" si="470"/>
        <v>23595</v>
      </c>
      <c r="P417" s="482">
        <f t="shared" si="470"/>
        <v>0</v>
      </c>
      <c r="Q417" s="482">
        <f t="shared" si="470"/>
        <v>23875</v>
      </c>
      <c r="R417" s="482">
        <f t="shared" si="470"/>
        <v>280</v>
      </c>
      <c r="S417" s="482">
        <f t="shared" si="470"/>
        <v>216299</v>
      </c>
      <c r="T417" s="482">
        <f t="shared" si="470"/>
        <v>84162</v>
      </c>
      <c r="U417" s="482">
        <f t="shared" si="470"/>
        <v>0</v>
      </c>
      <c r="V417" s="482">
        <f t="shared" si="470"/>
        <v>0</v>
      </c>
      <c r="W417" s="482">
        <f t="shared" si="470"/>
        <v>30464</v>
      </c>
      <c r="X417" s="482">
        <f t="shared" si="470"/>
        <v>280</v>
      </c>
      <c r="Y417" s="482">
        <f t="shared" si="470"/>
        <v>280</v>
      </c>
      <c r="Z417" s="482">
        <f t="shared" si="470"/>
        <v>0</v>
      </c>
      <c r="AA417" s="482">
        <f t="shared" si="470"/>
        <v>0</v>
      </c>
      <c r="AB417" s="482">
        <f t="shared" si="470"/>
        <v>8206</v>
      </c>
      <c r="AC417" s="482">
        <f t="shared" si="470"/>
        <v>6589</v>
      </c>
      <c r="AD417" s="482">
        <f t="shared" si="470"/>
        <v>0</v>
      </c>
      <c r="AE417" s="482">
        <f t="shared" si="470"/>
        <v>0</v>
      </c>
      <c r="AF417" s="482">
        <f t="shared" si="470"/>
        <v>970.020263</v>
      </c>
      <c r="AG417" s="482">
        <f t="shared" si="470"/>
        <v>3370.0202629999999</v>
      </c>
      <c r="AH417" s="482">
        <f t="shared" si="470"/>
        <v>8486</v>
      </c>
      <c r="AI417" s="482">
        <f t="shared" si="470"/>
        <v>6869</v>
      </c>
      <c r="AJ417" s="482">
        <f t="shared" si="470"/>
        <v>0</v>
      </c>
      <c r="AK417" s="482">
        <f t="shared" si="470"/>
        <v>0</v>
      </c>
      <c r="AL417" s="482">
        <f t="shared" si="470"/>
        <v>9617</v>
      </c>
      <c r="AM417" s="482">
        <f t="shared" si="470"/>
        <v>8000</v>
      </c>
      <c r="AN417" s="482">
        <f t="shared" si="470"/>
        <v>0</v>
      </c>
      <c r="AO417" s="482">
        <f t="shared" si="470"/>
        <v>0</v>
      </c>
      <c r="AP417" s="482">
        <f t="shared" si="470"/>
        <v>59617</v>
      </c>
      <c r="AQ417" s="482">
        <f t="shared" si="470"/>
        <v>58000</v>
      </c>
      <c r="AR417" s="482">
        <f t="shared" si="470"/>
        <v>50000</v>
      </c>
      <c r="AS417" s="482">
        <f t="shared" si="470"/>
        <v>0</v>
      </c>
      <c r="AT417" s="551"/>
      <c r="AU417" s="484">
        <f t="shared" si="439"/>
        <v>1617</v>
      </c>
      <c r="AV417" s="489"/>
      <c r="AW417" s="480"/>
      <c r="AX417" s="537"/>
      <c r="AY417" s="707"/>
      <c r="BD417" s="707"/>
      <c r="BG417" s="488">
        <f t="shared" si="440"/>
        <v>-48383</v>
      </c>
    </row>
    <row r="418" spans="1:59" s="82" customFormat="1" ht="59.25" customHeight="1">
      <c r="A418" s="543">
        <v>1</v>
      </c>
      <c r="B418" s="552" t="s">
        <v>684</v>
      </c>
      <c r="C418" s="494" t="s">
        <v>595</v>
      </c>
      <c r="D418" s="494"/>
      <c r="E418" s="495" t="s">
        <v>1008</v>
      </c>
      <c r="F418" s="494"/>
      <c r="G418" s="494"/>
      <c r="H418" s="484"/>
      <c r="I418" s="553" t="s">
        <v>811</v>
      </c>
      <c r="J418" s="495" t="s">
        <v>685</v>
      </c>
      <c r="K418" s="496">
        <v>11000</v>
      </c>
      <c r="L418" s="496">
        <f>K418</f>
        <v>11000</v>
      </c>
      <c r="M418" s="496"/>
      <c r="N418" s="496"/>
      <c r="O418" s="496"/>
      <c r="P418" s="496"/>
      <c r="Q418" s="496">
        <f>M418+X418</f>
        <v>0</v>
      </c>
      <c r="R418" s="496">
        <f>N418+Y418</f>
        <v>0</v>
      </c>
      <c r="S418" s="496">
        <f>T418</f>
        <v>11000</v>
      </c>
      <c r="T418" s="496">
        <v>11000</v>
      </c>
      <c r="U418" s="496"/>
      <c r="V418" s="496"/>
      <c r="W418" s="496">
        <v>4000</v>
      </c>
      <c r="X418" s="496"/>
      <c r="Y418" s="496"/>
      <c r="Z418" s="496"/>
      <c r="AA418" s="496"/>
      <c r="AB418" s="520">
        <v>4000</v>
      </c>
      <c r="AC418" s="520">
        <f>AB418</f>
        <v>4000</v>
      </c>
      <c r="AD418" s="496"/>
      <c r="AE418" s="496"/>
      <c r="AF418" s="496"/>
      <c r="AG418" s="496">
        <v>2100</v>
      </c>
      <c r="AH418" s="496">
        <f t="shared" ref="AH418:AI419" si="471">X418+AB418</f>
        <v>4000</v>
      </c>
      <c r="AI418" s="496">
        <f t="shared" si="471"/>
        <v>4000</v>
      </c>
      <c r="AJ418" s="496"/>
      <c r="AK418" s="496"/>
      <c r="AL418" s="496">
        <f t="shared" ref="AL418:AO419" si="472">AP418</f>
        <v>2000</v>
      </c>
      <c r="AM418" s="496">
        <f t="shared" si="472"/>
        <v>2000</v>
      </c>
      <c r="AN418" s="496">
        <f t="shared" si="472"/>
        <v>0</v>
      </c>
      <c r="AO418" s="496">
        <f t="shared" si="472"/>
        <v>0</v>
      </c>
      <c r="AP418" s="496">
        <f>AQ418</f>
        <v>2000</v>
      </c>
      <c r="AQ418" s="496">
        <v>2000</v>
      </c>
      <c r="AR418" s="496"/>
      <c r="AS418" s="496"/>
      <c r="AT418" s="536"/>
      <c r="AU418" s="484">
        <f t="shared" si="439"/>
        <v>0</v>
      </c>
      <c r="AV418" s="484">
        <f>V418-AA418</f>
        <v>0</v>
      </c>
      <c r="AW418" s="536"/>
      <c r="AX418" s="548"/>
      <c r="AY418" s="656">
        <v>9900</v>
      </c>
      <c r="AZ418" s="82">
        <f>T418-AY418</f>
        <v>1100</v>
      </c>
      <c r="BA418" s="82">
        <f>S418-AZ418</f>
        <v>9900</v>
      </c>
      <c r="BD418" s="656">
        <v>11000</v>
      </c>
      <c r="BG418" s="488">
        <f t="shared" si="440"/>
        <v>0</v>
      </c>
    </row>
    <row r="419" spans="1:59" s="82" customFormat="1" ht="59.25" customHeight="1">
      <c r="A419" s="543">
        <v>2</v>
      </c>
      <c r="B419" s="552" t="s">
        <v>654</v>
      </c>
      <c r="C419" s="545" t="s">
        <v>595</v>
      </c>
      <c r="D419" s="545"/>
      <c r="E419" s="545"/>
      <c r="F419" s="545"/>
      <c r="G419" s="545"/>
      <c r="H419" s="484"/>
      <c r="I419" s="553" t="s">
        <v>655</v>
      </c>
      <c r="J419" s="495" t="s">
        <v>656</v>
      </c>
      <c r="K419" s="496">
        <v>48374</v>
      </c>
      <c r="L419" s="496">
        <v>23162</v>
      </c>
      <c r="M419" s="496">
        <v>23595</v>
      </c>
      <c r="N419" s="496"/>
      <c r="O419" s="496">
        <v>23595</v>
      </c>
      <c r="P419" s="496"/>
      <c r="Q419" s="496">
        <f>M419+X419</f>
        <v>23875</v>
      </c>
      <c r="R419" s="496">
        <f>N419+Y419</f>
        <v>280</v>
      </c>
      <c r="S419" s="496">
        <v>24779</v>
      </c>
      <c r="T419" s="496">
        <f>S419-1617</f>
        <v>23162</v>
      </c>
      <c r="U419" s="496">
        <v>0</v>
      </c>
      <c r="V419" s="496"/>
      <c r="W419" s="496">
        <f>23595+280+1571</f>
        <v>25446</v>
      </c>
      <c r="X419" s="496">
        <v>280</v>
      </c>
      <c r="Y419" s="496">
        <v>280</v>
      </c>
      <c r="Z419" s="496"/>
      <c r="AA419" s="496"/>
      <c r="AB419" s="496">
        <f>1617+AC419</f>
        <v>3188</v>
      </c>
      <c r="AC419" s="496">
        <f>300+271+1000</f>
        <v>1571</v>
      </c>
      <c r="AD419" s="496"/>
      <c r="AE419" s="496"/>
      <c r="AF419" s="520">
        <v>687.020263</v>
      </c>
      <c r="AG419" s="520">
        <v>687.020263</v>
      </c>
      <c r="AH419" s="496">
        <f t="shared" si="471"/>
        <v>3468</v>
      </c>
      <c r="AI419" s="496">
        <f t="shared" si="471"/>
        <v>1851</v>
      </c>
      <c r="AJ419" s="496"/>
      <c r="AK419" s="496"/>
      <c r="AL419" s="496">
        <f t="shared" si="472"/>
        <v>7617</v>
      </c>
      <c r="AM419" s="496">
        <f t="shared" si="472"/>
        <v>6000</v>
      </c>
      <c r="AN419" s="496">
        <f t="shared" si="472"/>
        <v>0</v>
      </c>
      <c r="AO419" s="496">
        <f t="shared" si="472"/>
        <v>0</v>
      </c>
      <c r="AP419" s="496">
        <f>1617+AQ419</f>
        <v>7617</v>
      </c>
      <c r="AQ419" s="520">
        <v>6000</v>
      </c>
      <c r="AR419" s="496"/>
      <c r="AS419" s="496"/>
      <c r="AT419" s="536" t="s">
        <v>1079</v>
      </c>
      <c r="AU419" s="484">
        <f>AP419-AQ419</f>
        <v>1617</v>
      </c>
      <c r="AV419" s="484">
        <f>V419-AA419</f>
        <v>0</v>
      </c>
      <c r="AW419" s="536"/>
      <c r="AX419" s="548"/>
      <c r="BC419" s="656">
        <v>280.36</v>
      </c>
      <c r="BD419" s="82">
        <f>T419-BC419</f>
        <v>22881.64</v>
      </c>
      <c r="BG419" s="488">
        <f t="shared" si="440"/>
        <v>1617</v>
      </c>
    </row>
    <row r="420" spans="1:59" s="82" customFormat="1" ht="73.5" customHeight="1">
      <c r="A420" s="543">
        <v>4</v>
      </c>
      <c r="B420" s="567" t="s">
        <v>356</v>
      </c>
      <c r="C420" s="545"/>
      <c r="D420" s="545"/>
      <c r="E420" s="545" t="s">
        <v>1015</v>
      </c>
      <c r="F420" s="545"/>
      <c r="G420" s="545"/>
      <c r="H420" s="484"/>
      <c r="I420" s="494" t="s">
        <v>357</v>
      </c>
      <c r="J420" s="536" t="s">
        <v>964</v>
      </c>
      <c r="K420" s="546">
        <v>279797.8</v>
      </c>
      <c r="L420" s="546">
        <v>121838</v>
      </c>
      <c r="M420" s="496"/>
      <c r="N420" s="496"/>
      <c r="O420" s="496"/>
      <c r="P420" s="496"/>
      <c r="Q420" s="496"/>
      <c r="R420" s="496"/>
      <c r="S420" s="513">
        <v>180520</v>
      </c>
      <c r="T420" s="496">
        <v>50000</v>
      </c>
      <c r="U420" s="496"/>
      <c r="V420" s="496"/>
      <c r="W420" s="496">
        <v>1018</v>
      </c>
      <c r="X420" s="496"/>
      <c r="Y420" s="496"/>
      <c r="Z420" s="496"/>
      <c r="AA420" s="496"/>
      <c r="AB420" s="496">
        <f>AC420</f>
        <v>1018</v>
      </c>
      <c r="AC420" s="496">
        <v>1018</v>
      </c>
      <c r="AD420" s="496"/>
      <c r="AE420" s="496"/>
      <c r="AF420" s="520">
        <v>283</v>
      </c>
      <c r="AG420" s="520">
        <v>583</v>
      </c>
      <c r="AH420" s="496">
        <f>AI420</f>
        <v>1018</v>
      </c>
      <c r="AI420" s="496">
        <f>AC420</f>
        <v>1018</v>
      </c>
      <c r="AJ420" s="496"/>
      <c r="AK420" s="496"/>
      <c r="AL420" s="496"/>
      <c r="AM420" s="496"/>
      <c r="AN420" s="496"/>
      <c r="AO420" s="496"/>
      <c r="AP420" s="496">
        <f>AQ420</f>
        <v>50000</v>
      </c>
      <c r="AQ420" s="520">
        <v>50000</v>
      </c>
      <c r="AR420" s="496">
        <f>AQ420</f>
        <v>50000</v>
      </c>
      <c r="AS420" s="496"/>
      <c r="AT420" s="491" t="s">
        <v>1055</v>
      </c>
      <c r="AU420" s="484"/>
      <c r="AV420" s="484"/>
      <c r="AW420" s="536"/>
      <c r="AX420" s="548"/>
      <c r="BC420" s="709"/>
      <c r="BG420" s="488"/>
    </row>
    <row r="421" spans="1:59" s="80" customFormat="1" ht="59.25" customHeight="1">
      <c r="A421" s="478" t="s">
        <v>280</v>
      </c>
      <c r="B421" s="539" t="s">
        <v>289</v>
      </c>
      <c r="C421" s="615"/>
      <c r="D421" s="615"/>
      <c r="E421" s="615"/>
      <c r="F421" s="615"/>
      <c r="G421" s="615"/>
      <c r="H421" s="615"/>
      <c r="I421" s="615"/>
      <c r="J421" s="527"/>
      <c r="K421" s="602">
        <f>K422</f>
        <v>100830</v>
      </c>
      <c r="L421" s="602">
        <f t="shared" ref="L421:AS421" si="473">L422</f>
        <v>60230</v>
      </c>
      <c r="M421" s="602">
        <f t="shared" si="473"/>
        <v>0</v>
      </c>
      <c r="N421" s="602">
        <f t="shared" si="473"/>
        <v>0</v>
      </c>
      <c r="O421" s="602">
        <f t="shared" si="473"/>
        <v>0</v>
      </c>
      <c r="P421" s="602">
        <f t="shared" si="473"/>
        <v>0</v>
      </c>
      <c r="Q421" s="602">
        <f t="shared" si="473"/>
        <v>0</v>
      </c>
      <c r="R421" s="602">
        <f t="shared" si="473"/>
        <v>0</v>
      </c>
      <c r="S421" s="602">
        <f t="shared" si="473"/>
        <v>58530</v>
      </c>
      <c r="T421" s="602">
        <f t="shared" si="473"/>
        <v>58530</v>
      </c>
      <c r="U421" s="602">
        <f t="shared" si="473"/>
        <v>0</v>
      </c>
      <c r="V421" s="602">
        <f t="shared" si="473"/>
        <v>0</v>
      </c>
      <c r="W421" s="602">
        <f t="shared" si="473"/>
        <v>200</v>
      </c>
      <c r="X421" s="602">
        <f t="shared" si="473"/>
        <v>0</v>
      </c>
      <c r="Y421" s="602">
        <f t="shared" si="473"/>
        <v>0</v>
      </c>
      <c r="Z421" s="602">
        <f t="shared" si="473"/>
        <v>0</v>
      </c>
      <c r="AA421" s="602">
        <f t="shared" si="473"/>
        <v>0</v>
      </c>
      <c r="AB421" s="602">
        <f t="shared" si="473"/>
        <v>740</v>
      </c>
      <c r="AC421" s="602">
        <f t="shared" si="473"/>
        <v>740</v>
      </c>
      <c r="AD421" s="602">
        <f t="shared" si="473"/>
        <v>0</v>
      </c>
      <c r="AE421" s="602">
        <f t="shared" si="473"/>
        <v>0</v>
      </c>
      <c r="AF421" s="602">
        <f t="shared" si="473"/>
        <v>0</v>
      </c>
      <c r="AG421" s="602">
        <f t="shared" si="473"/>
        <v>0</v>
      </c>
      <c r="AH421" s="602">
        <f t="shared" si="473"/>
        <v>740</v>
      </c>
      <c r="AI421" s="602">
        <f t="shared" si="473"/>
        <v>740</v>
      </c>
      <c r="AJ421" s="602"/>
      <c r="AK421" s="602"/>
      <c r="AL421" s="602">
        <f t="shared" si="473"/>
        <v>11800</v>
      </c>
      <c r="AM421" s="602">
        <f t="shared" si="473"/>
        <v>12600</v>
      </c>
      <c r="AN421" s="602">
        <f t="shared" si="473"/>
        <v>0</v>
      </c>
      <c r="AO421" s="602">
        <f t="shared" si="473"/>
        <v>0</v>
      </c>
      <c r="AP421" s="602">
        <f t="shared" si="473"/>
        <v>16850</v>
      </c>
      <c r="AQ421" s="602">
        <f t="shared" si="473"/>
        <v>16850</v>
      </c>
      <c r="AR421" s="602">
        <f t="shared" si="473"/>
        <v>0</v>
      </c>
      <c r="AS421" s="602">
        <f t="shared" si="473"/>
        <v>0</v>
      </c>
      <c r="AT421" s="526"/>
      <c r="AU421" s="489">
        <f t="shared" si="439"/>
        <v>0</v>
      </c>
      <c r="AV421" s="523">
        <f>V421-AA421</f>
        <v>0</v>
      </c>
      <c r="AW421" s="526"/>
      <c r="AX421" s="531"/>
      <c r="AY421" s="710"/>
      <c r="AZ421" s="80">
        <f t="shared" si="459"/>
        <v>58530</v>
      </c>
      <c r="BA421" s="80">
        <f>S421-AZ421</f>
        <v>0</v>
      </c>
      <c r="BB421" s="532"/>
      <c r="BC421" s="80" t="s">
        <v>315</v>
      </c>
      <c r="BD421" s="710"/>
      <c r="BG421" s="488">
        <f t="shared" si="440"/>
        <v>-5050</v>
      </c>
    </row>
    <row r="422" spans="1:59" s="81" customFormat="1" ht="59.25" customHeight="1">
      <c r="A422" s="478" t="s">
        <v>35</v>
      </c>
      <c r="B422" s="539" t="s">
        <v>45</v>
      </c>
      <c r="C422" s="647"/>
      <c r="D422" s="647"/>
      <c r="E422" s="647"/>
      <c r="F422" s="647"/>
      <c r="G422" s="647"/>
      <c r="H422" s="647"/>
      <c r="I422" s="647"/>
      <c r="J422" s="481"/>
      <c r="K422" s="519">
        <f>SUM(K423:K430)</f>
        <v>100830</v>
      </c>
      <c r="L422" s="519">
        <f t="shared" ref="L422:AS422" si="474">SUM(L423:L430)</f>
        <v>60230</v>
      </c>
      <c r="M422" s="519">
        <f t="shared" si="474"/>
        <v>0</v>
      </c>
      <c r="N422" s="519">
        <f t="shared" si="474"/>
        <v>0</v>
      </c>
      <c r="O422" s="519">
        <f t="shared" si="474"/>
        <v>0</v>
      </c>
      <c r="P422" s="519">
        <f t="shared" si="474"/>
        <v>0</v>
      </c>
      <c r="Q422" s="519">
        <f t="shared" si="474"/>
        <v>0</v>
      </c>
      <c r="R422" s="519">
        <f t="shared" si="474"/>
        <v>0</v>
      </c>
      <c r="S422" s="519">
        <f t="shared" si="474"/>
        <v>58530</v>
      </c>
      <c r="T422" s="519">
        <f t="shared" si="474"/>
        <v>58530</v>
      </c>
      <c r="U422" s="519">
        <f t="shared" si="474"/>
        <v>0</v>
      </c>
      <c r="V422" s="519">
        <f t="shared" si="474"/>
        <v>0</v>
      </c>
      <c r="W422" s="519">
        <f t="shared" si="474"/>
        <v>200</v>
      </c>
      <c r="X422" s="519">
        <f t="shared" si="474"/>
        <v>0</v>
      </c>
      <c r="Y422" s="519">
        <f t="shared" si="474"/>
        <v>0</v>
      </c>
      <c r="Z422" s="519">
        <f t="shared" si="474"/>
        <v>0</v>
      </c>
      <c r="AA422" s="519">
        <f t="shared" si="474"/>
        <v>0</v>
      </c>
      <c r="AB422" s="519">
        <f t="shared" si="474"/>
        <v>740</v>
      </c>
      <c r="AC422" s="519">
        <f t="shared" si="474"/>
        <v>740</v>
      </c>
      <c r="AD422" s="519">
        <f t="shared" si="474"/>
        <v>0</v>
      </c>
      <c r="AE422" s="519">
        <f t="shared" si="474"/>
        <v>0</v>
      </c>
      <c r="AF422" s="519">
        <f t="shared" si="474"/>
        <v>0</v>
      </c>
      <c r="AG422" s="519">
        <f t="shared" si="474"/>
        <v>0</v>
      </c>
      <c r="AH422" s="519">
        <f t="shared" si="474"/>
        <v>740</v>
      </c>
      <c r="AI422" s="519">
        <f t="shared" si="474"/>
        <v>740</v>
      </c>
      <c r="AJ422" s="519">
        <f t="shared" si="474"/>
        <v>0</v>
      </c>
      <c r="AK422" s="519">
        <f t="shared" si="474"/>
        <v>0</v>
      </c>
      <c r="AL422" s="519">
        <f t="shared" si="474"/>
        <v>11800</v>
      </c>
      <c r="AM422" s="519">
        <f t="shared" si="474"/>
        <v>12600</v>
      </c>
      <c r="AN422" s="519">
        <f t="shared" si="474"/>
        <v>0</v>
      </c>
      <c r="AO422" s="519">
        <f t="shared" si="474"/>
        <v>0</v>
      </c>
      <c r="AP422" s="519">
        <f t="shared" si="474"/>
        <v>16850</v>
      </c>
      <c r="AQ422" s="519">
        <f>SUM(AQ423:AQ430)</f>
        <v>16850</v>
      </c>
      <c r="AR422" s="519">
        <f t="shared" si="474"/>
        <v>0</v>
      </c>
      <c r="AS422" s="519">
        <f t="shared" si="474"/>
        <v>0</v>
      </c>
      <c r="AT422" s="480"/>
      <c r="AU422" s="489">
        <f t="shared" si="439"/>
        <v>0</v>
      </c>
      <c r="AV422" s="489"/>
      <c r="AW422" s="480"/>
      <c r="AX422" s="486"/>
      <c r="AY422" s="711"/>
      <c r="BB422" s="487"/>
      <c r="BD422" s="711"/>
      <c r="BG422" s="488">
        <f t="shared" si="440"/>
        <v>-5050</v>
      </c>
    </row>
    <row r="423" spans="1:59" s="82" customFormat="1" ht="75" customHeight="1">
      <c r="A423" s="543">
        <v>1</v>
      </c>
      <c r="B423" s="565" t="s">
        <v>687</v>
      </c>
      <c r="C423" s="545" t="s">
        <v>595</v>
      </c>
      <c r="D423" s="545"/>
      <c r="E423" s="495" t="s">
        <v>1016</v>
      </c>
      <c r="F423" s="545"/>
      <c r="G423" s="545"/>
      <c r="H423" s="536" t="s">
        <v>688</v>
      </c>
      <c r="I423" s="494" t="s">
        <v>811</v>
      </c>
      <c r="J423" s="495" t="s">
        <v>689</v>
      </c>
      <c r="K423" s="496">
        <v>13730</v>
      </c>
      <c r="L423" s="496">
        <v>13730</v>
      </c>
      <c r="M423" s="496"/>
      <c r="N423" s="496"/>
      <c r="O423" s="496"/>
      <c r="P423" s="496"/>
      <c r="Q423" s="496">
        <f>M423+X423</f>
        <v>0</v>
      </c>
      <c r="R423" s="496">
        <f>N423+Y423</f>
        <v>0</v>
      </c>
      <c r="S423" s="496">
        <v>13730</v>
      </c>
      <c r="T423" s="496">
        <v>13730</v>
      </c>
      <c r="U423" s="496"/>
      <c r="V423" s="496"/>
      <c r="W423" s="496">
        <v>200</v>
      </c>
      <c r="X423" s="496"/>
      <c r="Y423" s="496"/>
      <c r="Z423" s="496"/>
      <c r="AA423" s="496"/>
      <c r="AB423" s="496">
        <v>200</v>
      </c>
      <c r="AC423" s="496">
        <v>200</v>
      </c>
      <c r="AD423" s="496"/>
      <c r="AE423" s="496"/>
      <c r="AF423" s="496"/>
      <c r="AG423" s="496"/>
      <c r="AH423" s="496">
        <f t="shared" si="446"/>
        <v>200</v>
      </c>
      <c r="AI423" s="496">
        <f t="shared" si="447"/>
        <v>200</v>
      </c>
      <c r="AJ423" s="496"/>
      <c r="AK423" s="496"/>
      <c r="AL423" s="496">
        <f>AP423</f>
        <v>4000</v>
      </c>
      <c r="AM423" s="496">
        <f>AQ423</f>
        <v>4000</v>
      </c>
      <c r="AN423" s="496">
        <f t="shared" si="449"/>
        <v>0</v>
      </c>
      <c r="AO423" s="496"/>
      <c r="AP423" s="496">
        <f t="shared" ref="AP423" si="475">AQ423</f>
        <v>4000</v>
      </c>
      <c r="AQ423" s="496">
        <v>4000</v>
      </c>
      <c r="AR423" s="496"/>
      <c r="AS423" s="496"/>
      <c r="AT423" s="553" t="s">
        <v>1068</v>
      </c>
      <c r="AU423" s="484">
        <f t="shared" si="439"/>
        <v>0</v>
      </c>
      <c r="AV423" s="484">
        <f t="shared" ref="AV423:AV446" si="476">V423-AA423</f>
        <v>0</v>
      </c>
      <c r="AW423" s="553">
        <f>AC423</f>
        <v>200</v>
      </c>
      <c r="AX423" s="548">
        <f>T423</f>
        <v>13730</v>
      </c>
      <c r="AY423" s="656">
        <v>6000</v>
      </c>
      <c r="AZ423" s="82">
        <v>13730</v>
      </c>
      <c r="BA423" s="82">
        <f t="shared" si="460"/>
        <v>0</v>
      </c>
      <c r="BD423" s="656">
        <v>1</v>
      </c>
      <c r="BE423" s="82">
        <v>1</v>
      </c>
      <c r="BF423" s="82">
        <f>AQ423</f>
        <v>4000</v>
      </c>
      <c r="BG423" s="488">
        <f t="shared" si="440"/>
        <v>0</v>
      </c>
    </row>
    <row r="424" spans="1:59" s="82" customFormat="1" ht="59.25" customHeight="1">
      <c r="A424" s="543">
        <v>2</v>
      </c>
      <c r="B424" s="565" t="s">
        <v>690</v>
      </c>
      <c r="C424" s="545" t="s">
        <v>595</v>
      </c>
      <c r="D424" s="545"/>
      <c r="E424" s="495" t="s">
        <v>1017</v>
      </c>
      <c r="F424" s="545"/>
      <c r="G424" s="545"/>
      <c r="H424" s="536" t="s">
        <v>691</v>
      </c>
      <c r="I424" s="494"/>
      <c r="J424" s="566" t="s">
        <v>963</v>
      </c>
      <c r="K424" s="546">
        <v>17000</v>
      </c>
      <c r="L424" s="546">
        <v>17000</v>
      </c>
      <c r="M424" s="496"/>
      <c r="N424" s="496"/>
      <c r="O424" s="496"/>
      <c r="P424" s="496"/>
      <c r="Q424" s="496">
        <f>M424+X424</f>
        <v>0</v>
      </c>
      <c r="R424" s="496">
        <f>N424+Y424</f>
        <v>0</v>
      </c>
      <c r="S424" s="496">
        <f>T424</f>
        <v>15300</v>
      </c>
      <c r="T424" s="496">
        <f>L424*90%</f>
        <v>15300</v>
      </c>
      <c r="U424" s="496"/>
      <c r="V424" s="496"/>
      <c r="W424" s="496"/>
      <c r="X424" s="496"/>
      <c r="Y424" s="496"/>
      <c r="Z424" s="496"/>
      <c r="AA424" s="496"/>
      <c r="AB424" s="496">
        <v>300</v>
      </c>
      <c r="AC424" s="496">
        <v>300</v>
      </c>
      <c r="AD424" s="496"/>
      <c r="AE424" s="496"/>
      <c r="AF424" s="496"/>
      <c r="AG424" s="496"/>
      <c r="AH424" s="496">
        <f t="shared" si="446"/>
        <v>300</v>
      </c>
      <c r="AI424" s="496">
        <f t="shared" si="447"/>
        <v>300</v>
      </c>
      <c r="AJ424" s="496"/>
      <c r="AK424" s="496"/>
      <c r="AL424" s="496">
        <f t="shared" si="448"/>
        <v>3000</v>
      </c>
      <c r="AM424" s="496">
        <f t="shared" si="453"/>
        <v>3000</v>
      </c>
      <c r="AN424" s="496">
        <f t="shared" si="449"/>
        <v>0</v>
      </c>
      <c r="AO424" s="496"/>
      <c r="AP424" s="496">
        <f t="shared" ref="AP424:AP430" si="477">AQ424</f>
        <v>3000</v>
      </c>
      <c r="AQ424" s="496">
        <v>3000</v>
      </c>
      <c r="AR424" s="496"/>
      <c r="AS424" s="496"/>
      <c r="AT424" s="553" t="s">
        <v>1068</v>
      </c>
      <c r="AU424" s="484">
        <f t="shared" si="439"/>
        <v>0</v>
      </c>
      <c r="AV424" s="484">
        <f t="shared" si="476"/>
        <v>0</v>
      </c>
      <c r="AW424" s="553">
        <f>AC424</f>
        <v>300</v>
      </c>
      <c r="AX424" s="548">
        <f>T424</f>
        <v>15300</v>
      </c>
      <c r="AY424" s="656">
        <v>13730</v>
      </c>
      <c r="AZ424" s="82">
        <v>20000</v>
      </c>
      <c r="BA424" s="82">
        <f t="shared" si="460"/>
        <v>-4700</v>
      </c>
      <c r="BD424" s="656">
        <v>1</v>
      </c>
      <c r="BE424" s="82">
        <v>1</v>
      </c>
      <c r="BF424" s="82">
        <f>AQ424</f>
        <v>3000</v>
      </c>
      <c r="BG424" s="488">
        <f t="shared" si="440"/>
        <v>0</v>
      </c>
    </row>
    <row r="425" spans="1:59" s="82" customFormat="1" ht="59.25" customHeight="1">
      <c r="A425" s="484">
        <v>2</v>
      </c>
      <c r="B425" s="565" t="s">
        <v>692</v>
      </c>
      <c r="C425" s="545" t="s">
        <v>595</v>
      </c>
      <c r="D425" s="545"/>
      <c r="E425" s="545" t="s">
        <v>1018</v>
      </c>
      <c r="F425" s="545"/>
      <c r="G425" s="545"/>
      <c r="H425" s="545" t="s">
        <v>315</v>
      </c>
      <c r="I425" s="494"/>
      <c r="J425" s="566" t="s">
        <v>814</v>
      </c>
      <c r="K425" s="546">
        <f>L425</f>
        <v>3500</v>
      </c>
      <c r="L425" s="546">
        <v>3500</v>
      </c>
      <c r="M425" s="496"/>
      <c r="N425" s="496"/>
      <c r="O425" s="496"/>
      <c r="P425" s="496"/>
      <c r="Q425" s="496">
        <f t="shared" ref="Q425:R426" si="478">M425+X425</f>
        <v>0</v>
      </c>
      <c r="R425" s="496">
        <f t="shared" si="478"/>
        <v>0</v>
      </c>
      <c r="S425" s="496">
        <v>3500</v>
      </c>
      <c r="T425" s="496">
        <v>3500</v>
      </c>
      <c r="U425" s="496"/>
      <c r="V425" s="496"/>
      <c r="W425" s="496"/>
      <c r="X425" s="496"/>
      <c r="Y425" s="496"/>
      <c r="Z425" s="496"/>
      <c r="AA425" s="496"/>
      <c r="AB425" s="496">
        <v>60</v>
      </c>
      <c r="AC425" s="496">
        <v>60</v>
      </c>
      <c r="AD425" s="496"/>
      <c r="AE425" s="496"/>
      <c r="AF425" s="496"/>
      <c r="AG425" s="496"/>
      <c r="AH425" s="496">
        <f t="shared" si="446"/>
        <v>60</v>
      </c>
      <c r="AI425" s="496">
        <f t="shared" si="447"/>
        <v>60</v>
      </c>
      <c r="AJ425" s="496"/>
      <c r="AK425" s="496"/>
      <c r="AL425" s="496">
        <f t="shared" si="448"/>
        <v>1700</v>
      </c>
      <c r="AM425" s="496">
        <v>2500</v>
      </c>
      <c r="AN425" s="496">
        <f t="shared" si="449"/>
        <v>0</v>
      </c>
      <c r="AO425" s="496"/>
      <c r="AP425" s="496">
        <f t="shared" si="477"/>
        <v>1700</v>
      </c>
      <c r="AQ425" s="496">
        <v>1700</v>
      </c>
      <c r="AR425" s="496"/>
      <c r="AS425" s="496"/>
      <c r="AT425" s="553" t="s">
        <v>1068</v>
      </c>
      <c r="AU425" s="484">
        <f t="shared" ref="AU425:AU442" si="479">AP425-AQ425</f>
        <v>0</v>
      </c>
      <c r="AV425" s="484">
        <f t="shared" si="476"/>
        <v>0</v>
      </c>
      <c r="AW425" s="553"/>
      <c r="AX425" s="548"/>
      <c r="AY425" s="656">
        <v>20000</v>
      </c>
      <c r="AZ425" s="82">
        <v>3500</v>
      </c>
      <c r="BA425" s="82">
        <f t="shared" si="460"/>
        <v>0</v>
      </c>
      <c r="BD425" s="656">
        <v>3500</v>
      </c>
      <c r="BG425" s="488">
        <f t="shared" si="440"/>
        <v>0</v>
      </c>
    </row>
    <row r="426" spans="1:59" s="82" customFormat="1" ht="67.5" customHeight="1">
      <c r="A426" s="484">
        <v>3</v>
      </c>
      <c r="B426" s="565" t="s">
        <v>693</v>
      </c>
      <c r="C426" s="545" t="s">
        <v>595</v>
      </c>
      <c r="D426" s="545"/>
      <c r="E426" s="495" t="s">
        <v>1019</v>
      </c>
      <c r="F426" s="545"/>
      <c r="G426" s="545"/>
      <c r="H426" s="712"/>
      <c r="I426" s="494" t="s">
        <v>381</v>
      </c>
      <c r="J426" s="566" t="s">
        <v>813</v>
      </c>
      <c r="K426" s="546">
        <f>L426</f>
        <v>4600</v>
      </c>
      <c r="L426" s="546">
        <v>4600</v>
      </c>
      <c r="M426" s="496"/>
      <c r="N426" s="496"/>
      <c r="O426" s="496"/>
      <c r="P426" s="496"/>
      <c r="Q426" s="496">
        <f t="shared" si="478"/>
        <v>0</v>
      </c>
      <c r="R426" s="496">
        <f t="shared" si="478"/>
        <v>0</v>
      </c>
      <c r="S426" s="496">
        <f>T426</f>
        <v>4600</v>
      </c>
      <c r="T426" s="496">
        <v>4600</v>
      </c>
      <c r="U426" s="496"/>
      <c r="V426" s="496"/>
      <c r="W426" s="496"/>
      <c r="X426" s="496"/>
      <c r="Y426" s="496"/>
      <c r="Z426" s="496"/>
      <c r="AA426" s="496"/>
      <c r="AB426" s="496">
        <v>90</v>
      </c>
      <c r="AC426" s="496">
        <v>90</v>
      </c>
      <c r="AD426" s="496"/>
      <c r="AE426" s="496"/>
      <c r="AF426" s="496"/>
      <c r="AG426" s="496"/>
      <c r="AH426" s="496">
        <f t="shared" si="446"/>
        <v>90</v>
      </c>
      <c r="AI426" s="496">
        <f t="shared" si="447"/>
        <v>90</v>
      </c>
      <c r="AJ426" s="496"/>
      <c r="AK426" s="496"/>
      <c r="AL426" s="496">
        <f t="shared" si="448"/>
        <v>1400</v>
      </c>
      <c r="AM426" s="496">
        <f t="shared" si="453"/>
        <v>1400</v>
      </c>
      <c r="AN426" s="496">
        <f t="shared" si="449"/>
        <v>0</v>
      </c>
      <c r="AO426" s="496"/>
      <c r="AP426" s="496">
        <f t="shared" si="477"/>
        <v>1400</v>
      </c>
      <c r="AQ426" s="496">
        <v>1400</v>
      </c>
      <c r="AR426" s="496"/>
      <c r="AS426" s="496"/>
      <c r="AT426" s="553" t="s">
        <v>1068</v>
      </c>
      <c r="AU426" s="484">
        <f t="shared" si="479"/>
        <v>0</v>
      </c>
      <c r="AV426" s="484">
        <f t="shared" si="476"/>
        <v>0</v>
      </c>
      <c r="AW426" s="536"/>
      <c r="AX426" s="548"/>
      <c r="AY426" s="656">
        <v>3000</v>
      </c>
      <c r="AZ426" s="82">
        <v>4600</v>
      </c>
      <c r="BA426" s="82">
        <f t="shared" si="460"/>
        <v>0</v>
      </c>
      <c r="BD426" s="656">
        <v>4600</v>
      </c>
      <c r="BG426" s="488">
        <f t="shared" ref="BG426:BG442" si="480">AL426-AQ426</f>
        <v>0</v>
      </c>
    </row>
    <row r="427" spans="1:59" s="82" customFormat="1" ht="59.25" customHeight="1">
      <c r="A427" s="484">
        <v>4</v>
      </c>
      <c r="B427" s="599" t="s">
        <v>686</v>
      </c>
      <c r="C427" s="494" t="s">
        <v>361</v>
      </c>
      <c r="D427" s="494"/>
      <c r="E427" s="494" t="s">
        <v>1020</v>
      </c>
      <c r="F427" s="494"/>
      <c r="G427" s="494"/>
      <c r="H427" s="545"/>
      <c r="I427" s="494"/>
      <c r="J427" s="566" t="s">
        <v>815</v>
      </c>
      <c r="K427" s="496">
        <f>L427</f>
        <v>6000</v>
      </c>
      <c r="L427" s="496">
        <v>6000</v>
      </c>
      <c r="M427" s="496"/>
      <c r="N427" s="496"/>
      <c r="O427" s="496"/>
      <c r="P427" s="496"/>
      <c r="Q427" s="496">
        <f>M427+X427</f>
        <v>0</v>
      </c>
      <c r="R427" s="496">
        <f>N427+Y427</f>
        <v>0</v>
      </c>
      <c r="S427" s="496">
        <v>6000</v>
      </c>
      <c r="T427" s="496">
        <v>6000</v>
      </c>
      <c r="U427" s="496"/>
      <c r="V427" s="496"/>
      <c r="W427" s="496"/>
      <c r="X427" s="496"/>
      <c r="Y427" s="496"/>
      <c r="Z427" s="496"/>
      <c r="AA427" s="496"/>
      <c r="AB427" s="496">
        <v>90</v>
      </c>
      <c r="AC427" s="496">
        <v>90</v>
      </c>
      <c r="AD427" s="496"/>
      <c r="AE427" s="496"/>
      <c r="AF427" s="496"/>
      <c r="AG427" s="496"/>
      <c r="AH427" s="496">
        <f>X427+AB427</f>
        <v>90</v>
      </c>
      <c r="AI427" s="496">
        <f>Y427+AC427</f>
        <v>90</v>
      </c>
      <c r="AJ427" s="496"/>
      <c r="AK427" s="496"/>
      <c r="AL427" s="496">
        <f>AP427</f>
        <v>1700</v>
      </c>
      <c r="AM427" s="496">
        <f>AQ427</f>
        <v>1700</v>
      </c>
      <c r="AN427" s="496">
        <f>AR427</f>
        <v>0</v>
      </c>
      <c r="AO427" s="496"/>
      <c r="AP427" s="496">
        <f t="shared" si="477"/>
        <v>1700</v>
      </c>
      <c r="AQ427" s="496">
        <v>1700</v>
      </c>
      <c r="AR427" s="496"/>
      <c r="AS427" s="496"/>
      <c r="AT427" s="553" t="s">
        <v>1068</v>
      </c>
      <c r="AU427" s="484">
        <f>AP427-AQ427</f>
        <v>0</v>
      </c>
      <c r="AV427" s="484">
        <f>V427-AA427</f>
        <v>0</v>
      </c>
      <c r="AW427" s="553"/>
      <c r="AX427" s="548"/>
      <c r="AY427" s="656">
        <v>2340</v>
      </c>
      <c r="AZ427" s="82">
        <v>6000</v>
      </c>
      <c r="BA427" s="82">
        <f>S427-AZ427</f>
        <v>0</v>
      </c>
      <c r="BD427" s="656">
        <v>6000</v>
      </c>
      <c r="BG427" s="488">
        <f t="shared" si="480"/>
        <v>0</v>
      </c>
    </row>
    <row r="428" spans="1:59" s="82" customFormat="1" ht="59.25" customHeight="1">
      <c r="A428" s="484">
        <v>5</v>
      </c>
      <c r="B428" s="599" t="s">
        <v>1077</v>
      </c>
      <c r="C428" s="494" t="s">
        <v>595</v>
      </c>
      <c r="D428" s="494"/>
      <c r="E428" s="494" t="s">
        <v>1014</v>
      </c>
      <c r="F428" s="494"/>
      <c r="G428" s="494"/>
      <c r="H428" s="545"/>
      <c r="I428" s="494" t="s">
        <v>811</v>
      </c>
      <c r="J428" s="566" t="s">
        <v>1076</v>
      </c>
      <c r="K428" s="496">
        <f>L428</f>
        <v>3000</v>
      </c>
      <c r="L428" s="496">
        <v>3000</v>
      </c>
      <c r="M428" s="496"/>
      <c r="N428" s="496"/>
      <c r="O428" s="496"/>
      <c r="P428" s="496"/>
      <c r="Q428" s="496"/>
      <c r="R428" s="496"/>
      <c r="S428" s="496">
        <f>T428</f>
        <v>3000</v>
      </c>
      <c r="T428" s="496">
        <v>3000</v>
      </c>
      <c r="U428" s="496"/>
      <c r="V428" s="496"/>
      <c r="W428" s="496"/>
      <c r="X428" s="496"/>
      <c r="Y428" s="496"/>
      <c r="Z428" s="496"/>
      <c r="AA428" s="496"/>
      <c r="AB428" s="496"/>
      <c r="AC428" s="496"/>
      <c r="AD428" s="496"/>
      <c r="AE428" s="496"/>
      <c r="AF428" s="496"/>
      <c r="AG428" s="496"/>
      <c r="AH428" s="496"/>
      <c r="AI428" s="496"/>
      <c r="AJ428" s="496"/>
      <c r="AK428" s="496"/>
      <c r="AL428" s="496"/>
      <c r="AM428" s="496"/>
      <c r="AN428" s="496"/>
      <c r="AO428" s="496"/>
      <c r="AP428" s="496">
        <f t="shared" si="477"/>
        <v>2000</v>
      </c>
      <c r="AQ428" s="496">
        <v>2000</v>
      </c>
      <c r="AR428" s="496"/>
      <c r="AS428" s="496"/>
      <c r="AT428" s="553" t="s">
        <v>1068</v>
      </c>
      <c r="AU428" s="484"/>
      <c r="AV428" s="484"/>
      <c r="AW428" s="553"/>
      <c r="AX428" s="548"/>
      <c r="AY428" s="656"/>
      <c r="BD428" s="656"/>
      <c r="BG428" s="488"/>
    </row>
    <row r="429" spans="1:59" s="82" customFormat="1" ht="59.25" customHeight="1">
      <c r="A429" s="484">
        <v>6</v>
      </c>
      <c r="B429" s="596" t="s">
        <v>1050</v>
      </c>
      <c r="C429" s="494" t="s">
        <v>361</v>
      </c>
      <c r="D429" s="494"/>
      <c r="E429" s="494" t="s">
        <v>1051</v>
      </c>
      <c r="F429" s="494"/>
      <c r="G429" s="494"/>
      <c r="H429" s="545"/>
      <c r="I429" s="494" t="s">
        <v>811</v>
      </c>
      <c r="J429" s="566" t="s">
        <v>1052</v>
      </c>
      <c r="K429" s="546">
        <v>7000</v>
      </c>
      <c r="L429" s="546">
        <v>7000</v>
      </c>
      <c r="M429" s="496"/>
      <c r="N429" s="496"/>
      <c r="O429" s="496"/>
      <c r="P429" s="496"/>
      <c r="Q429" s="496"/>
      <c r="R429" s="496"/>
      <c r="S429" s="496">
        <f>T429</f>
        <v>7000</v>
      </c>
      <c r="T429" s="496">
        <v>7000</v>
      </c>
      <c r="U429" s="496"/>
      <c r="V429" s="496"/>
      <c r="W429" s="496"/>
      <c r="X429" s="496"/>
      <c r="Y429" s="496"/>
      <c r="Z429" s="496"/>
      <c r="AA429" s="496"/>
      <c r="AB429" s="496"/>
      <c r="AC429" s="496"/>
      <c r="AD429" s="496"/>
      <c r="AE429" s="496"/>
      <c r="AF429" s="496"/>
      <c r="AG429" s="496"/>
      <c r="AH429" s="496"/>
      <c r="AI429" s="496"/>
      <c r="AJ429" s="496"/>
      <c r="AK429" s="496"/>
      <c r="AL429" s="496"/>
      <c r="AM429" s="496"/>
      <c r="AN429" s="496"/>
      <c r="AO429" s="496"/>
      <c r="AP429" s="496">
        <f t="shared" si="477"/>
        <v>2000</v>
      </c>
      <c r="AQ429" s="496">
        <v>2000</v>
      </c>
      <c r="AR429" s="496"/>
      <c r="AS429" s="496"/>
      <c r="AT429" s="553" t="s">
        <v>1068</v>
      </c>
      <c r="AU429" s="484"/>
      <c r="AV429" s="484"/>
      <c r="AW429" s="553"/>
      <c r="AX429" s="548"/>
      <c r="AY429" s="656"/>
      <c r="BD429" s="656"/>
      <c r="BF429" s="82">
        <f>AQ429</f>
        <v>2000</v>
      </c>
      <c r="BG429" s="488"/>
    </row>
    <row r="430" spans="1:59" s="82" customFormat="1" ht="78.75" customHeight="1">
      <c r="A430" s="484">
        <v>7</v>
      </c>
      <c r="B430" s="560" t="s">
        <v>578</v>
      </c>
      <c r="C430" s="494"/>
      <c r="D430" s="494"/>
      <c r="E430" s="494"/>
      <c r="F430" s="494"/>
      <c r="G430" s="494"/>
      <c r="H430" s="545"/>
      <c r="I430" s="494"/>
      <c r="J430" s="566" t="s">
        <v>1067</v>
      </c>
      <c r="K430" s="546">
        <v>46000</v>
      </c>
      <c r="L430" s="546">
        <v>5400</v>
      </c>
      <c r="M430" s="496"/>
      <c r="N430" s="496"/>
      <c r="O430" s="496"/>
      <c r="P430" s="496"/>
      <c r="Q430" s="496"/>
      <c r="R430" s="496"/>
      <c r="S430" s="496">
        <f>T430</f>
        <v>5400</v>
      </c>
      <c r="T430" s="496">
        <v>5400</v>
      </c>
      <c r="U430" s="496"/>
      <c r="V430" s="496"/>
      <c r="W430" s="496"/>
      <c r="X430" s="496"/>
      <c r="Y430" s="496"/>
      <c r="Z430" s="496"/>
      <c r="AA430" s="496"/>
      <c r="AB430" s="496"/>
      <c r="AC430" s="496"/>
      <c r="AD430" s="496"/>
      <c r="AE430" s="496"/>
      <c r="AF430" s="496"/>
      <c r="AG430" s="496"/>
      <c r="AH430" s="496"/>
      <c r="AI430" s="496"/>
      <c r="AJ430" s="496"/>
      <c r="AK430" s="496"/>
      <c r="AL430" s="496"/>
      <c r="AM430" s="496"/>
      <c r="AN430" s="496"/>
      <c r="AO430" s="496"/>
      <c r="AP430" s="496">
        <f t="shared" si="477"/>
        <v>1050</v>
      </c>
      <c r="AQ430" s="496">
        <v>1050</v>
      </c>
      <c r="AR430" s="496"/>
      <c r="AS430" s="496"/>
      <c r="AT430" s="553" t="s">
        <v>1073</v>
      </c>
      <c r="AU430" s="484"/>
      <c r="AV430" s="484"/>
      <c r="AW430" s="553"/>
      <c r="AX430" s="548"/>
      <c r="AY430" s="656"/>
      <c r="BD430" s="656"/>
      <c r="BF430" s="82">
        <f>AQ430</f>
        <v>1050</v>
      </c>
      <c r="BG430" s="488"/>
    </row>
    <row r="431" spans="1:59" s="81" customFormat="1" ht="59.25" customHeight="1">
      <c r="A431" s="549" t="s">
        <v>757</v>
      </c>
      <c r="B431" s="573" t="s">
        <v>388</v>
      </c>
      <c r="C431" s="550"/>
      <c r="D431" s="550"/>
      <c r="E431" s="550"/>
      <c r="F431" s="550"/>
      <c r="G431" s="550"/>
      <c r="H431" s="713"/>
      <c r="I431" s="480"/>
      <c r="J431" s="481"/>
      <c r="K431" s="519">
        <f t="shared" ref="K431:AS431" si="481">K432</f>
        <v>0</v>
      </c>
      <c r="L431" s="519">
        <f t="shared" si="481"/>
        <v>0</v>
      </c>
      <c r="M431" s="519">
        <f t="shared" si="481"/>
        <v>0</v>
      </c>
      <c r="N431" s="519">
        <f t="shared" si="481"/>
        <v>0</v>
      </c>
      <c r="O431" s="519">
        <f t="shared" si="481"/>
        <v>0</v>
      </c>
      <c r="P431" s="519">
        <f t="shared" si="481"/>
        <v>0</v>
      </c>
      <c r="Q431" s="519">
        <f t="shared" si="481"/>
        <v>0</v>
      </c>
      <c r="R431" s="519">
        <f t="shared" si="481"/>
        <v>0</v>
      </c>
      <c r="S431" s="519">
        <f t="shared" si="481"/>
        <v>0</v>
      </c>
      <c r="T431" s="519">
        <f t="shared" si="481"/>
        <v>0</v>
      </c>
      <c r="U431" s="519">
        <f t="shared" si="481"/>
        <v>0</v>
      </c>
      <c r="V431" s="519">
        <f t="shared" si="481"/>
        <v>0</v>
      </c>
      <c r="W431" s="519"/>
      <c r="X431" s="519">
        <f t="shared" si="481"/>
        <v>0</v>
      </c>
      <c r="Y431" s="519">
        <f t="shared" si="481"/>
        <v>0</v>
      </c>
      <c r="Z431" s="519">
        <f t="shared" si="481"/>
        <v>0</v>
      </c>
      <c r="AA431" s="519">
        <f t="shared" si="481"/>
        <v>0</v>
      </c>
      <c r="AB431" s="519">
        <f t="shared" si="481"/>
        <v>0</v>
      </c>
      <c r="AC431" s="519">
        <f t="shared" si="481"/>
        <v>0</v>
      </c>
      <c r="AD431" s="519">
        <f t="shared" si="481"/>
        <v>0</v>
      </c>
      <c r="AE431" s="519">
        <f t="shared" si="481"/>
        <v>0</v>
      </c>
      <c r="AF431" s="519">
        <f t="shared" si="481"/>
        <v>0</v>
      </c>
      <c r="AG431" s="519">
        <f t="shared" si="481"/>
        <v>0</v>
      </c>
      <c r="AH431" s="519">
        <f t="shared" si="481"/>
        <v>0</v>
      </c>
      <c r="AI431" s="519">
        <f t="shared" si="481"/>
        <v>0</v>
      </c>
      <c r="AJ431" s="519"/>
      <c r="AK431" s="519"/>
      <c r="AL431" s="519">
        <f t="shared" si="481"/>
        <v>0</v>
      </c>
      <c r="AM431" s="519">
        <f t="shared" si="481"/>
        <v>0</v>
      </c>
      <c r="AN431" s="519">
        <f t="shared" si="481"/>
        <v>0</v>
      </c>
      <c r="AO431" s="519">
        <f t="shared" si="481"/>
        <v>0</v>
      </c>
      <c r="AP431" s="519">
        <f t="shared" si="481"/>
        <v>93</v>
      </c>
      <c r="AQ431" s="519">
        <f t="shared" si="481"/>
        <v>93</v>
      </c>
      <c r="AR431" s="519">
        <f t="shared" si="481"/>
        <v>0</v>
      </c>
      <c r="AS431" s="519">
        <f t="shared" si="481"/>
        <v>0</v>
      </c>
      <c r="AT431" s="551"/>
      <c r="AU431" s="484">
        <f t="shared" si="479"/>
        <v>0</v>
      </c>
      <c r="AV431" s="489"/>
      <c r="AW431" s="551"/>
      <c r="AX431" s="537"/>
      <c r="AY431" s="707"/>
      <c r="BD431" s="707"/>
      <c r="BG431" s="488">
        <f t="shared" si="480"/>
        <v>-93</v>
      </c>
    </row>
    <row r="432" spans="1:59" s="81" customFormat="1" ht="59.25" customHeight="1">
      <c r="A432" s="556" t="s">
        <v>44</v>
      </c>
      <c r="B432" s="557" t="s">
        <v>743</v>
      </c>
      <c r="C432" s="550"/>
      <c r="D432" s="550"/>
      <c r="E432" s="550"/>
      <c r="F432" s="550"/>
      <c r="G432" s="550"/>
      <c r="H432" s="713"/>
      <c r="I432" s="480"/>
      <c r="J432" s="481"/>
      <c r="K432" s="519">
        <f t="shared" ref="K432:V432" si="482">SUM(K433:K433)</f>
        <v>0</v>
      </c>
      <c r="L432" s="519">
        <f t="shared" si="482"/>
        <v>0</v>
      </c>
      <c r="M432" s="519">
        <f t="shared" si="482"/>
        <v>0</v>
      </c>
      <c r="N432" s="519">
        <f t="shared" si="482"/>
        <v>0</v>
      </c>
      <c r="O432" s="519">
        <f t="shared" si="482"/>
        <v>0</v>
      </c>
      <c r="P432" s="519">
        <f t="shared" si="482"/>
        <v>0</v>
      </c>
      <c r="Q432" s="519">
        <f t="shared" si="482"/>
        <v>0</v>
      </c>
      <c r="R432" s="519">
        <f t="shared" si="482"/>
        <v>0</v>
      </c>
      <c r="S432" s="519">
        <f t="shared" si="482"/>
        <v>0</v>
      </c>
      <c r="T432" s="519">
        <f t="shared" si="482"/>
        <v>0</v>
      </c>
      <c r="U432" s="519">
        <f t="shared" si="482"/>
        <v>0</v>
      </c>
      <c r="V432" s="519">
        <f t="shared" si="482"/>
        <v>0</v>
      </c>
      <c r="W432" s="519"/>
      <c r="X432" s="519">
        <f t="shared" ref="X432:AI432" si="483">SUM(X433:X433)</f>
        <v>0</v>
      </c>
      <c r="Y432" s="519">
        <f t="shared" si="483"/>
        <v>0</v>
      </c>
      <c r="Z432" s="519">
        <f t="shared" si="483"/>
        <v>0</v>
      </c>
      <c r="AA432" s="519">
        <f t="shared" si="483"/>
        <v>0</v>
      </c>
      <c r="AB432" s="519">
        <f t="shared" si="483"/>
        <v>0</v>
      </c>
      <c r="AC432" s="519">
        <f t="shared" si="483"/>
        <v>0</v>
      </c>
      <c r="AD432" s="519">
        <f t="shared" si="483"/>
        <v>0</v>
      </c>
      <c r="AE432" s="519">
        <f t="shared" si="483"/>
        <v>0</v>
      </c>
      <c r="AF432" s="519">
        <f t="shared" si="483"/>
        <v>0</v>
      </c>
      <c r="AG432" s="519">
        <f t="shared" si="483"/>
        <v>0</v>
      </c>
      <c r="AH432" s="519">
        <f t="shared" si="483"/>
        <v>0</v>
      </c>
      <c r="AI432" s="519">
        <f t="shared" si="483"/>
        <v>0</v>
      </c>
      <c r="AJ432" s="519"/>
      <c r="AK432" s="519"/>
      <c r="AL432" s="519">
        <f t="shared" ref="AL432:AS432" si="484">SUM(AL433:AL433)</f>
        <v>0</v>
      </c>
      <c r="AM432" s="519">
        <f t="shared" si="484"/>
        <v>0</v>
      </c>
      <c r="AN432" s="519">
        <f t="shared" si="484"/>
        <v>0</v>
      </c>
      <c r="AO432" s="519">
        <f t="shared" si="484"/>
        <v>0</v>
      </c>
      <c r="AP432" s="519">
        <f t="shared" si="484"/>
        <v>93</v>
      </c>
      <c r="AQ432" s="519">
        <f t="shared" si="484"/>
        <v>93</v>
      </c>
      <c r="AR432" s="519">
        <f t="shared" si="484"/>
        <v>0</v>
      </c>
      <c r="AS432" s="519">
        <f t="shared" si="484"/>
        <v>0</v>
      </c>
      <c r="AT432" s="551"/>
      <c r="AU432" s="484"/>
      <c r="AV432" s="489"/>
      <c r="AW432" s="551"/>
      <c r="AX432" s="537"/>
      <c r="AY432" s="707"/>
      <c r="BD432" s="707"/>
      <c r="BG432" s="488">
        <f t="shared" si="480"/>
        <v>-93</v>
      </c>
    </row>
    <row r="433" spans="1:59" s="82" customFormat="1" ht="59.25" customHeight="1">
      <c r="A433" s="543">
        <v>1</v>
      </c>
      <c r="B433" s="596" t="s">
        <v>1057</v>
      </c>
      <c r="C433" s="545"/>
      <c r="D433" s="545"/>
      <c r="E433" s="494"/>
      <c r="F433" s="545"/>
      <c r="G433" s="545"/>
      <c r="H433" s="629"/>
      <c r="I433" s="494"/>
      <c r="J433" s="495"/>
      <c r="K433" s="496"/>
      <c r="L433" s="496"/>
      <c r="M433" s="496"/>
      <c r="N433" s="496"/>
      <c r="O433" s="496"/>
      <c r="P433" s="496"/>
      <c r="Q433" s="496"/>
      <c r="R433" s="496"/>
      <c r="S433" s="496"/>
      <c r="T433" s="496"/>
      <c r="U433" s="496"/>
      <c r="V433" s="496"/>
      <c r="W433" s="496"/>
      <c r="X433" s="496"/>
      <c r="Y433" s="496"/>
      <c r="Z433" s="496"/>
      <c r="AA433" s="496"/>
      <c r="AB433" s="496"/>
      <c r="AC433" s="496"/>
      <c r="AD433" s="496"/>
      <c r="AE433" s="496"/>
      <c r="AF433" s="496"/>
      <c r="AG433" s="496"/>
      <c r="AH433" s="496"/>
      <c r="AI433" s="496"/>
      <c r="AJ433" s="496"/>
      <c r="AK433" s="496"/>
      <c r="AL433" s="496"/>
      <c r="AM433" s="496"/>
      <c r="AN433" s="496"/>
      <c r="AO433" s="496"/>
      <c r="AP433" s="496">
        <f>AQ433</f>
        <v>93</v>
      </c>
      <c r="AQ433" s="496">
        <v>93</v>
      </c>
      <c r="AR433" s="496"/>
      <c r="AS433" s="496"/>
      <c r="AT433" s="553" t="s">
        <v>1069</v>
      </c>
      <c r="AU433" s="484"/>
      <c r="AV433" s="484"/>
      <c r="AW433" s="553"/>
      <c r="AX433" s="548"/>
      <c r="AY433" s="656"/>
      <c r="BD433" s="656"/>
      <c r="BF433" s="82">
        <f>AQ433</f>
        <v>93</v>
      </c>
      <c r="BG433" s="488"/>
    </row>
    <row r="434" spans="1:59" s="82" customFormat="1" ht="59.25" customHeight="1">
      <c r="A434" s="543"/>
      <c r="B434" s="479" t="s">
        <v>331</v>
      </c>
      <c r="C434" s="545"/>
      <c r="D434" s="545"/>
      <c r="E434" s="545"/>
      <c r="F434" s="545"/>
      <c r="G434" s="545"/>
      <c r="H434" s="545"/>
      <c r="I434" s="494"/>
      <c r="J434" s="495"/>
      <c r="K434" s="496"/>
      <c r="L434" s="496"/>
      <c r="M434" s="496"/>
      <c r="N434" s="496"/>
      <c r="O434" s="496"/>
      <c r="P434" s="496"/>
      <c r="Q434" s="496"/>
      <c r="R434" s="496"/>
      <c r="S434" s="496"/>
      <c r="T434" s="513">
        <v>190489</v>
      </c>
      <c r="U434" s="496"/>
      <c r="V434" s="496"/>
      <c r="W434" s="496"/>
      <c r="X434" s="496"/>
      <c r="Y434" s="496"/>
      <c r="Z434" s="496"/>
      <c r="AA434" s="496"/>
      <c r="AB434" s="496"/>
      <c r="AC434" s="496"/>
      <c r="AD434" s="496"/>
      <c r="AE434" s="496"/>
      <c r="AF434" s="496"/>
      <c r="AG434" s="496"/>
      <c r="AH434" s="496"/>
      <c r="AI434" s="496"/>
      <c r="AJ434" s="496"/>
      <c r="AK434" s="496"/>
      <c r="AL434" s="496"/>
      <c r="AM434" s="496"/>
      <c r="AN434" s="496"/>
      <c r="AO434" s="496"/>
      <c r="AP434" s="496"/>
      <c r="AQ434" s="482">
        <v>41000</v>
      </c>
      <c r="AR434" s="496"/>
      <c r="AS434" s="496"/>
      <c r="AT434" s="553">
        <f>AQ434-AQ435</f>
        <v>0</v>
      </c>
      <c r="AU434" s="484"/>
      <c r="AV434" s="484"/>
      <c r="AW434" s="553"/>
      <c r="AX434" s="548"/>
      <c r="AY434" s="656"/>
      <c r="BG434" s="488">
        <f t="shared" si="480"/>
        <v>-41000</v>
      </c>
    </row>
    <row r="435" spans="1:59" s="81" customFormat="1" ht="59.25" customHeight="1">
      <c r="A435" s="538" t="s">
        <v>750</v>
      </c>
      <c r="B435" s="714" t="s">
        <v>328</v>
      </c>
      <c r="C435" s="480"/>
      <c r="D435" s="480"/>
      <c r="E435" s="480"/>
      <c r="F435" s="480"/>
      <c r="G435" s="480"/>
      <c r="H435" s="480"/>
      <c r="I435" s="480"/>
      <c r="J435" s="481"/>
      <c r="K435" s="482">
        <f t="shared" ref="K435:AI435" si="485">K436+K449</f>
        <v>2072406.1993879999</v>
      </c>
      <c r="L435" s="482">
        <f t="shared" si="485"/>
        <v>174392.27234900001</v>
      </c>
      <c r="M435" s="482">
        <f t="shared" si="485"/>
        <v>462255.69</v>
      </c>
      <c r="N435" s="482">
        <f t="shared" si="485"/>
        <v>30265</v>
      </c>
      <c r="O435" s="482">
        <f t="shared" si="485"/>
        <v>0</v>
      </c>
      <c r="P435" s="482">
        <f t="shared" si="485"/>
        <v>0</v>
      </c>
      <c r="Q435" s="482">
        <f t="shared" si="485"/>
        <v>489867.69</v>
      </c>
      <c r="R435" s="482">
        <f t="shared" si="485"/>
        <v>44877</v>
      </c>
      <c r="S435" s="482">
        <f t="shared" si="485"/>
        <v>828586.14838799997</v>
      </c>
      <c r="T435" s="482">
        <f t="shared" si="485"/>
        <v>166877.672349</v>
      </c>
      <c r="U435" s="482">
        <f t="shared" si="485"/>
        <v>6000</v>
      </c>
      <c r="V435" s="482">
        <f t="shared" si="485"/>
        <v>0</v>
      </c>
      <c r="W435" s="482">
        <f t="shared" si="485"/>
        <v>7503</v>
      </c>
      <c r="X435" s="482">
        <f t="shared" si="485"/>
        <v>27612</v>
      </c>
      <c r="Y435" s="482">
        <f t="shared" si="485"/>
        <v>14612</v>
      </c>
      <c r="Z435" s="482">
        <f t="shared" si="485"/>
        <v>0</v>
      </c>
      <c r="AA435" s="482">
        <f t="shared" si="485"/>
        <v>0</v>
      </c>
      <c r="AB435" s="482">
        <f t="shared" si="485"/>
        <v>33804</v>
      </c>
      <c r="AC435" s="482">
        <f t="shared" si="485"/>
        <v>26558</v>
      </c>
      <c r="AD435" s="482">
        <f t="shared" si="485"/>
        <v>4850</v>
      </c>
      <c r="AE435" s="482">
        <f t="shared" si="485"/>
        <v>0</v>
      </c>
      <c r="AF435" s="482">
        <f t="shared" si="485"/>
        <v>8561.4539100000002</v>
      </c>
      <c r="AG435" s="482">
        <f t="shared" si="485"/>
        <v>10614.068824</v>
      </c>
      <c r="AH435" s="482">
        <f t="shared" si="485"/>
        <v>60301</v>
      </c>
      <c r="AI435" s="482">
        <f t="shared" si="485"/>
        <v>40055</v>
      </c>
      <c r="AJ435" s="482"/>
      <c r="AK435" s="482"/>
      <c r="AL435" s="482">
        <f t="shared" ref="AL435:AS435" si="486">AL436+AL449</f>
        <v>33000</v>
      </c>
      <c r="AM435" s="482">
        <f t="shared" si="486"/>
        <v>33000</v>
      </c>
      <c r="AN435" s="482">
        <f t="shared" si="486"/>
        <v>0</v>
      </c>
      <c r="AO435" s="482">
        <f t="shared" si="486"/>
        <v>0</v>
      </c>
      <c r="AP435" s="482">
        <f t="shared" si="486"/>
        <v>41000</v>
      </c>
      <c r="AQ435" s="482">
        <f>AQ436+AQ449</f>
        <v>41000</v>
      </c>
      <c r="AR435" s="482">
        <f t="shared" si="486"/>
        <v>0</v>
      </c>
      <c r="AS435" s="482">
        <f t="shared" si="486"/>
        <v>0</v>
      </c>
      <c r="AT435" s="715"/>
      <c r="AU435" s="484">
        <f t="shared" si="479"/>
        <v>0</v>
      </c>
      <c r="AV435" s="484">
        <f t="shared" si="476"/>
        <v>0</v>
      </c>
      <c r="AW435" s="715"/>
      <c r="AX435" s="537"/>
      <c r="BG435" s="488">
        <f t="shared" si="480"/>
        <v>-8000</v>
      </c>
    </row>
    <row r="436" spans="1:59" s="81" customFormat="1" ht="59.25" customHeight="1">
      <c r="A436" s="716" t="s">
        <v>694</v>
      </c>
      <c r="B436" s="717" t="s">
        <v>695</v>
      </c>
      <c r="C436" s="480"/>
      <c r="D436" s="480"/>
      <c r="E436" s="480"/>
      <c r="F436" s="480"/>
      <c r="G436" s="480"/>
      <c r="H436" s="480"/>
      <c r="I436" s="480"/>
      <c r="J436" s="558"/>
      <c r="K436" s="482">
        <f t="shared" ref="K436:AS436" si="487">K437+K443+K447+K448</f>
        <v>1762931</v>
      </c>
      <c r="L436" s="482">
        <f t="shared" si="487"/>
        <v>118466</v>
      </c>
      <c r="M436" s="482">
        <f t="shared" si="487"/>
        <v>430392</v>
      </c>
      <c r="N436" s="482">
        <f t="shared" si="487"/>
        <v>26002</v>
      </c>
      <c r="O436" s="482">
        <f t="shared" si="487"/>
        <v>0</v>
      </c>
      <c r="P436" s="482">
        <f t="shared" si="487"/>
        <v>0</v>
      </c>
      <c r="Q436" s="482">
        <f t="shared" si="487"/>
        <v>453504</v>
      </c>
      <c r="R436" s="482">
        <f t="shared" si="487"/>
        <v>36114</v>
      </c>
      <c r="S436" s="482">
        <f t="shared" si="487"/>
        <v>638756</v>
      </c>
      <c r="T436" s="482">
        <f t="shared" si="487"/>
        <v>118382</v>
      </c>
      <c r="U436" s="482">
        <f t="shared" si="487"/>
        <v>6000</v>
      </c>
      <c r="V436" s="482">
        <f t="shared" si="487"/>
        <v>0</v>
      </c>
      <c r="W436" s="482">
        <f t="shared" si="487"/>
        <v>0</v>
      </c>
      <c r="X436" s="482">
        <f t="shared" si="487"/>
        <v>23112</v>
      </c>
      <c r="Y436" s="482">
        <f t="shared" si="487"/>
        <v>10112</v>
      </c>
      <c r="Z436" s="482">
        <f t="shared" si="487"/>
        <v>0</v>
      </c>
      <c r="AA436" s="482">
        <f t="shared" si="487"/>
        <v>0</v>
      </c>
      <c r="AB436" s="482">
        <f t="shared" si="487"/>
        <v>27204</v>
      </c>
      <c r="AC436" s="482">
        <f t="shared" si="487"/>
        <v>19958</v>
      </c>
      <c r="AD436" s="482">
        <f t="shared" si="487"/>
        <v>4850</v>
      </c>
      <c r="AE436" s="482">
        <f t="shared" si="487"/>
        <v>0</v>
      </c>
      <c r="AF436" s="482">
        <f t="shared" si="487"/>
        <v>6562.5039999999999</v>
      </c>
      <c r="AG436" s="482">
        <f t="shared" si="487"/>
        <v>8615.1189140000006</v>
      </c>
      <c r="AH436" s="482">
        <f t="shared" si="487"/>
        <v>50316</v>
      </c>
      <c r="AI436" s="482">
        <f t="shared" si="487"/>
        <v>30070</v>
      </c>
      <c r="AJ436" s="482">
        <f t="shared" si="487"/>
        <v>0</v>
      </c>
      <c r="AK436" s="482">
        <f t="shared" si="487"/>
        <v>0</v>
      </c>
      <c r="AL436" s="482">
        <f t="shared" si="487"/>
        <v>29354</v>
      </c>
      <c r="AM436" s="482">
        <f t="shared" si="487"/>
        <v>29354</v>
      </c>
      <c r="AN436" s="482">
        <f t="shared" si="487"/>
        <v>0</v>
      </c>
      <c r="AO436" s="482">
        <f t="shared" si="487"/>
        <v>0</v>
      </c>
      <c r="AP436" s="482">
        <f t="shared" si="487"/>
        <v>29354</v>
      </c>
      <c r="AQ436" s="482">
        <f>AQ437+AQ443+AQ447+AQ448</f>
        <v>29354</v>
      </c>
      <c r="AR436" s="482">
        <f t="shared" si="487"/>
        <v>0</v>
      </c>
      <c r="AS436" s="482">
        <f t="shared" si="487"/>
        <v>0</v>
      </c>
      <c r="AT436" s="551"/>
      <c r="AU436" s="484">
        <f t="shared" si="479"/>
        <v>0</v>
      </c>
      <c r="AV436" s="484">
        <f t="shared" si="476"/>
        <v>0</v>
      </c>
      <c r="AW436" s="551"/>
      <c r="AX436" s="537"/>
      <c r="BG436" s="488">
        <f t="shared" si="480"/>
        <v>0</v>
      </c>
    </row>
    <row r="437" spans="1:59" s="81" customFormat="1" ht="59.25" customHeight="1">
      <c r="A437" s="718" t="s">
        <v>696</v>
      </c>
      <c r="B437" s="719" t="s">
        <v>698</v>
      </c>
      <c r="C437" s="480"/>
      <c r="D437" s="480"/>
      <c r="E437" s="480"/>
      <c r="F437" s="480"/>
      <c r="G437" s="480"/>
      <c r="H437" s="480"/>
      <c r="I437" s="480"/>
      <c r="J437" s="558"/>
      <c r="K437" s="482">
        <f t="shared" ref="K437:AI437" si="488">K438+K440</f>
        <v>1191286</v>
      </c>
      <c r="L437" s="482">
        <f t="shared" si="488"/>
        <v>29773</v>
      </c>
      <c r="M437" s="482">
        <f t="shared" si="488"/>
        <v>415392</v>
      </c>
      <c r="N437" s="482">
        <f t="shared" si="488"/>
        <v>26002</v>
      </c>
      <c r="O437" s="482">
        <f t="shared" si="488"/>
        <v>0</v>
      </c>
      <c r="P437" s="482">
        <f t="shared" si="488"/>
        <v>0</v>
      </c>
      <c r="Q437" s="482">
        <f t="shared" si="488"/>
        <v>420504</v>
      </c>
      <c r="R437" s="482">
        <f t="shared" si="488"/>
        <v>31114</v>
      </c>
      <c r="S437" s="482">
        <f t="shared" si="488"/>
        <v>101111</v>
      </c>
      <c r="T437" s="482">
        <f t="shared" si="488"/>
        <v>29689</v>
      </c>
      <c r="U437" s="482">
        <f t="shared" si="488"/>
        <v>6000</v>
      </c>
      <c r="V437" s="482">
        <f t="shared" si="488"/>
        <v>0</v>
      </c>
      <c r="W437" s="482">
        <f t="shared" si="488"/>
        <v>0</v>
      </c>
      <c r="X437" s="482">
        <f t="shared" si="488"/>
        <v>5112</v>
      </c>
      <c r="Y437" s="482">
        <f t="shared" si="488"/>
        <v>5112</v>
      </c>
      <c r="Z437" s="482">
        <f t="shared" si="488"/>
        <v>0</v>
      </c>
      <c r="AA437" s="482">
        <f t="shared" si="488"/>
        <v>0</v>
      </c>
      <c r="AB437" s="482">
        <f t="shared" si="488"/>
        <v>15704</v>
      </c>
      <c r="AC437" s="482">
        <f t="shared" si="488"/>
        <v>8458</v>
      </c>
      <c r="AD437" s="482">
        <f t="shared" si="488"/>
        <v>4850</v>
      </c>
      <c r="AE437" s="482">
        <f t="shared" si="488"/>
        <v>0</v>
      </c>
      <c r="AF437" s="482">
        <f t="shared" si="488"/>
        <v>0</v>
      </c>
      <c r="AG437" s="482">
        <f t="shared" si="488"/>
        <v>0</v>
      </c>
      <c r="AH437" s="482">
        <f t="shared" si="488"/>
        <v>20816</v>
      </c>
      <c r="AI437" s="482">
        <f t="shared" si="488"/>
        <v>13570</v>
      </c>
      <c r="AJ437" s="482"/>
      <c r="AK437" s="482"/>
      <c r="AL437" s="482">
        <f t="shared" ref="AL437:AS437" si="489">AL438+AL440</f>
        <v>11802</v>
      </c>
      <c r="AM437" s="482">
        <f t="shared" si="489"/>
        <v>11802</v>
      </c>
      <c r="AN437" s="482">
        <f t="shared" si="489"/>
        <v>0</v>
      </c>
      <c r="AO437" s="482">
        <f t="shared" si="489"/>
        <v>0</v>
      </c>
      <c r="AP437" s="482">
        <f t="shared" si="489"/>
        <v>11802</v>
      </c>
      <c r="AQ437" s="482">
        <f>AQ438+AQ440</f>
        <v>11802</v>
      </c>
      <c r="AR437" s="482">
        <f t="shared" si="489"/>
        <v>0</v>
      </c>
      <c r="AS437" s="482">
        <f t="shared" si="489"/>
        <v>0</v>
      </c>
      <c r="AT437" s="716"/>
      <c r="AU437" s="484">
        <f t="shared" si="479"/>
        <v>0</v>
      </c>
      <c r="AV437" s="484">
        <f t="shared" si="476"/>
        <v>0</v>
      </c>
      <c r="AW437" s="716"/>
      <c r="AX437" s="537"/>
      <c r="BG437" s="488">
        <f t="shared" si="480"/>
        <v>0</v>
      </c>
    </row>
    <row r="438" spans="1:59" s="81" customFormat="1" ht="59.25" customHeight="1">
      <c r="A438" s="720" t="s">
        <v>747</v>
      </c>
      <c r="B438" s="721" t="s">
        <v>286</v>
      </c>
      <c r="C438" s="480"/>
      <c r="D438" s="480"/>
      <c r="E438" s="480"/>
      <c r="F438" s="480"/>
      <c r="G438" s="480"/>
      <c r="H438" s="480"/>
      <c r="I438" s="480"/>
      <c r="J438" s="570">
        <f>J437/100*10</f>
        <v>0</v>
      </c>
      <c r="K438" s="602">
        <f>K439</f>
        <v>505203</v>
      </c>
      <c r="L438" s="602">
        <f t="shared" ref="L438:AS438" si="490">L439</f>
        <v>17810</v>
      </c>
      <c r="M438" s="602">
        <f t="shared" si="490"/>
        <v>414875</v>
      </c>
      <c r="N438" s="602">
        <f t="shared" si="490"/>
        <v>25485</v>
      </c>
      <c r="O438" s="602">
        <f t="shared" si="490"/>
        <v>0</v>
      </c>
      <c r="P438" s="602">
        <f t="shared" si="490"/>
        <v>0</v>
      </c>
      <c r="Q438" s="602">
        <f t="shared" si="490"/>
        <v>419470</v>
      </c>
      <c r="R438" s="602">
        <f t="shared" si="490"/>
        <v>30080</v>
      </c>
      <c r="S438" s="602">
        <f t="shared" si="490"/>
        <v>20096</v>
      </c>
      <c r="T438" s="602">
        <f t="shared" si="490"/>
        <v>17810</v>
      </c>
      <c r="U438" s="602">
        <f t="shared" si="490"/>
        <v>6000</v>
      </c>
      <c r="V438" s="602">
        <f t="shared" si="490"/>
        <v>0</v>
      </c>
      <c r="W438" s="602">
        <f t="shared" si="490"/>
        <v>0</v>
      </c>
      <c r="X438" s="602">
        <f t="shared" si="490"/>
        <v>4595</v>
      </c>
      <c r="Y438" s="602">
        <f t="shared" si="490"/>
        <v>4595</v>
      </c>
      <c r="Z438" s="602">
        <f t="shared" si="490"/>
        <v>0</v>
      </c>
      <c r="AA438" s="602">
        <f t="shared" si="490"/>
        <v>0</v>
      </c>
      <c r="AB438" s="602">
        <f t="shared" si="490"/>
        <v>12096</v>
      </c>
      <c r="AC438" s="602">
        <f t="shared" si="490"/>
        <v>4850</v>
      </c>
      <c r="AD438" s="602">
        <f t="shared" si="490"/>
        <v>4850</v>
      </c>
      <c r="AE438" s="602">
        <f t="shared" si="490"/>
        <v>0</v>
      </c>
      <c r="AF438" s="602">
        <f t="shared" si="490"/>
        <v>0</v>
      </c>
      <c r="AG438" s="602">
        <f t="shared" si="490"/>
        <v>0</v>
      </c>
      <c r="AH438" s="602">
        <f t="shared" si="490"/>
        <v>16691</v>
      </c>
      <c r="AI438" s="602">
        <f t="shared" si="490"/>
        <v>9445</v>
      </c>
      <c r="AJ438" s="602"/>
      <c r="AK438" s="602"/>
      <c r="AL438" s="602">
        <f t="shared" si="490"/>
        <v>8315</v>
      </c>
      <c r="AM438" s="602">
        <f t="shared" si="490"/>
        <v>8315</v>
      </c>
      <c r="AN438" s="602">
        <f t="shared" si="490"/>
        <v>0</v>
      </c>
      <c r="AO438" s="602">
        <f t="shared" si="490"/>
        <v>0</v>
      </c>
      <c r="AP438" s="602">
        <f t="shared" si="490"/>
        <v>8315</v>
      </c>
      <c r="AQ438" s="602">
        <f>AQ439</f>
        <v>8315</v>
      </c>
      <c r="AR438" s="602">
        <f t="shared" si="490"/>
        <v>0</v>
      </c>
      <c r="AS438" s="602">
        <f t="shared" si="490"/>
        <v>0</v>
      </c>
      <c r="AT438" s="722"/>
      <c r="AU438" s="484">
        <f t="shared" si="479"/>
        <v>0</v>
      </c>
      <c r="AV438" s="484">
        <f t="shared" si="476"/>
        <v>0</v>
      </c>
      <c r="AW438" s="722"/>
      <c r="AX438" s="537"/>
      <c r="BG438" s="488">
        <f t="shared" si="480"/>
        <v>0</v>
      </c>
    </row>
    <row r="439" spans="1:59" s="82" customFormat="1" ht="76.5" customHeight="1">
      <c r="A439" s="517">
        <v>1</v>
      </c>
      <c r="B439" s="723" t="s">
        <v>773</v>
      </c>
      <c r="C439" s="494" t="s">
        <v>653</v>
      </c>
      <c r="D439" s="494"/>
      <c r="E439" s="494"/>
      <c r="F439" s="494"/>
      <c r="G439" s="494"/>
      <c r="H439" s="494"/>
      <c r="I439" s="494"/>
      <c r="J439" s="495" t="s">
        <v>699</v>
      </c>
      <c r="K439" s="496">
        <v>505203</v>
      </c>
      <c r="L439" s="496">
        <f>T439</f>
        <v>17810</v>
      </c>
      <c r="M439" s="496">
        <v>414875</v>
      </c>
      <c r="N439" s="496">
        <v>25485</v>
      </c>
      <c r="O439" s="496"/>
      <c r="P439" s="496"/>
      <c r="Q439" s="496">
        <f>M439+X439</f>
        <v>419470</v>
      </c>
      <c r="R439" s="496">
        <f>N439+Y439</f>
        <v>30080</v>
      </c>
      <c r="S439" s="496">
        <v>20096</v>
      </c>
      <c r="T439" s="496">
        <f>10408+8315-913</f>
        <v>17810</v>
      </c>
      <c r="U439" s="496">
        <v>6000</v>
      </c>
      <c r="V439" s="496"/>
      <c r="W439" s="496"/>
      <c r="X439" s="496">
        <v>4595</v>
      </c>
      <c r="Y439" s="496">
        <v>4595</v>
      </c>
      <c r="Z439" s="496"/>
      <c r="AA439" s="496"/>
      <c r="AB439" s="496">
        <v>12096</v>
      </c>
      <c r="AC439" s="496">
        <v>4850</v>
      </c>
      <c r="AD439" s="496">
        <f>AC439</f>
        <v>4850</v>
      </c>
      <c r="AE439" s="496"/>
      <c r="AF439" s="496"/>
      <c r="AG439" s="496"/>
      <c r="AH439" s="496">
        <f t="shared" ref="AH439:AH454" si="491">X439+AB439</f>
        <v>16691</v>
      </c>
      <c r="AI439" s="496">
        <f t="shared" ref="AI439:AI454" si="492">Y439+AC439</f>
        <v>9445</v>
      </c>
      <c r="AJ439" s="496"/>
      <c r="AK439" s="496"/>
      <c r="AL439" s="496">
        <f t="shared" si="448"/>
        <v>8315</v>
      </c>
      <c r="AM439" s="496">
        <f t="shared" si="453"/>
        <v>8315</v>
      </c>
      <c r="AN439" s="496">
        <f t="shared" si="449"/>
        <v>0</v>
      </c>
      <c r="AO439" s="496">
        <f t="shared" si="450"/>
        <v>0</v>
      </c>
      <c r="AP439" s="496">
        <f>AQ439</f>
        <v>8315</v>
      </c>
      <c r="AQ439" s="496">
        <v>8315</v>
      </c>
      <c r="AR439" s="496"/>
      <c r="AS439" s="496"/>
      <c r="AT439" s="517" t="s">
        <v>780</v>
      </c>
      <c r="AU439" s="484">
        <f t="shared" si="479"/>
        <v>0</v>
      </c>
      <c r="AV439" s="484">
        <f t="shared" si="476"/>
        <v>0</v>
      </c>
      <c r="AW439" s="517"/>
      <c r="AX439" s="548"/>
      <c r="BG439" s="488">
        <f t="shared" si="480"/>
        <v>0</v>
      </c>
    </row>
    <row r="440" spans="1:59" s="81" customFormat="1" ht="59.25" customHeight="1">
      <c r="A440" s="724" t="s">
        <v>46</v>
      </c>
      <c r="B440" s="539" t="s">
        <v>288</v>
      </c>
      <c r="C440" s="480"/>
      <c r="D440" s="480"/>
      <c r="E440" s="480"/>
      <c r="F440" s="480"/>
      <c r="G440" s="480"/>
      <c r="H440" s="480"/>
      <c r="I440" s="480"/>
      <c r="J440" s="558"/>
      <c r="K440" s="482">
        <f>K441+K442</f>
        <v>686083</v>
      </c>
      <c r="L440" s="482">
        <f t="shared" ref="L440:AS440" si="493">L441+L442</f>
        <v>11963</v>
      </c>
      <c r="M440" s="482">
        <f t="shared" si="493"/>
        <v>517</v>
      </c>
      <c r="N440" s="482">
        <f t="shared" si="493"/>
        <v>517</v>
      </c>
      <c r="O440" s="482">
        <f t="shared" si="493"/>
        <v>0</v>
      </c>
      <c r="P440" s="482">
        <f t="shared" si="493"/>
        <v>0</v>
      </c>
      <c r="Q440" s="482">
        <f t="shared" si="493"/>
        <v>1034</v>
      </c>
      <c r="R440" s="482">
        <f t="shared" si="493"/>
        <v>1034</v>
      </c>
      <c r="S440" s="482">
        <f t="shared" si="493"/>
        <v>81015</v>
      </c>
      <c r="T440" s="482">
        <f t="shared" si="493"/>
        <v>11879</v>
      </c>
      <c r="U440" s="482">
        <f t="shared" si="493"/>
        <v>0</v>
      </c>
      <c r="V440" s="482">
        <f t="shared" si="493"/>
        <v>0</v>
      </c>
      <c r="W440" s="482">
        <f t="shared" si="493"/>
        <v>0</v>
      </c>
      <c r="X440" s="482">
        <f t="shared" si="493"/>
        <v>517</v>
      </c>
      <c r="Y440" s="482">
        <f t="shared" si="493"/>
        <v>517</v>
      </c>
      <c r="Z440" s="482">
        <f t="shared" si="493"/>
        <v>0</v>
      </c>
      <c r="AA440" s="482">
        <f t="shared" si="493"/>
        <v>0</v>
      </c>
      <c r="AB440" s="482">
        <f t="shared" si="493"/>
        <v>3608</v>
      </c>
      <c r="AC440" s="482">
        <f t="shared" si="493"/>
        <v>3608</v>
      </c>
      <c r="AD440" s="482">
        <f t="shared" si="493"/>
        <v>0</v>
      </c>
      <c r="AE440" s="482">
        <f t="shared" si="493"/>
        <v>0</v>
      </c>
      <c r="AF440" s="482">
        <f t="shared" si="493"/>
        <v>0</v>
      </c>
      <c r="AG440" s="482">
        <f t="shared" si="493"/>
        <v>0</v>
      </c>
      <c r="AH440" s="482">
        <f t="shared" si="493"/>
        <v>4125</v>
      </c>
      <c r="AI440" s="482">
        <f t="shared" si="493"/>
        <v>4125</v>
      </c>
      <c r="AJ440" s="482"/>
      <c r="AK440" s="482"/>
      <c r="AL440" s="482">
        <f t="shared" si="493"/>
        <v>3487</v>
      </c>
      <c r="AM440" s="482">
        <f t="shared" si="493"/>
        <v>3487</v>
      </c>
      <c r="AN440" s="482">
        <f t="shared" si="493"/>
        <v>0</v>
      </c>
      <c r="AO440" s="482">
        <f t="shared" si="493"/>
        <v>0</v>
      </c>
      <c r="AP440" s="482">
        <f t="shared" si="493"/>
        <v>3487</v>
      </c>
      <c r="AQ440" s="482">
        <f>AQ441+AQ442</f>
        <v>3487</v>
      </c>
      <c r="AR440" s="482">
        <f t="shared" si="493"/>
        <v>0</v>
      </c>
      <c r="AS440" s="482">
        <f t="shared" si="493"/>
        <v>0</v>
      </c>
      <c r="AT440" s="716"/>
      <c r="AU440" s="484">
        <f t="shared" si="479"/>
        <v>0</v>
      </c>
      <c r="AV440" s="484">
        <f t="shared" si="476"/>
        <v>0</v>
      </c>
      <c r="AW440" s="716"/>
      <c r="AX440" s="537"/>
      <c r="BG440" s="488">
        <f t="shared" si="480"/>
        <v>0</v>
      </c>
    </row>
    <row r="441" spans="1:59" s="82" customFormat="1" ht="77.25" customHeight="1">
      <c r="A441" s="657">
        <v>1</v>
      </c>
      <c r="B441" s="725" t="s">
        <v>700</v>
      </c>
      <c r="C441" s="494" t="s">
        <v>595</v>
      </c>
      <c r="D441" s="494"/>
      <c r="E441" s="494"/>
      <c r="F441" s="494"/>
      <c r="G441" s="494"/>
      <c r="H441" s="494"/>
      <c r="I441" s="494"/>
      <c r="J441" s="629" t="s">
        <v>959</v>
      </c>
      <c r="K441" s="726">
        <v>479827</v>
      </c>
      <c r="L441" s="621">
        <v>8584</v>
      </c>
      <c r="M441" s="496">
        <v>0</v>
      </c>
      <c r="N441" s="496">
        <v>0</v>
      </c>
      <c r="O441" s="496"/>
      <c r="P441" s="496"/>
      <c r="Q441" s="496">
        <f t="shared" ref="Q441:Q442" si="494">M441+X441</f>
        <v>0</v>
      </c>
      <c r="R441" s="496">
        <f t="shared" ref="R441:R442" si="495">N441+Y441</f>
        <v>0</v>
      </c>
      <c r="S441" s="496">
        <v>77636</v>
      </c>
      <c r="T441" s="496">
        <v>8500</v>
      </c>
      <c r="U441" s="496">
        <f>S7350</f>
        <v>0</v>
      </c>
      <c r="V441" s="496"/>
      <c r="W441" s="496"/>
      <c r="X441" s="496"/>
      <c r="Y441" s="496"/>
      <c r="Z441" s="496"/>
      <c r="AA441" s="496"/>
      <c r="AB441" s="496">
        <v>2000</v>
      </c>
      <c r="AC441" s="496">
        <v>2000</v>
      </c>
      <c r="AD441" s="496"/>
      <c r="AE441" s="496"/>
      <c r="AF441" s="496"/>
      <c r="AG441" s="496"/>
      <c r="AH441" s="496">
        <f t="shared" si="491"/>
        <v>2000</v>
      </c>
      <c r="AI441" s="496">
        <f t="shared" si="492"/>
        <v>2000</v>
      </c>
      <c r="AJ441" s="496"/>
      <c r="AK441" s="496"/>
      <c r="AL441" s="496">
        <f t="shared" si="448"/>
        <v>2233</v>
      </c>
      <c r="AM441" s="496">
        <f t="shared" si="453"/>
        <v>2233</v>
      </c>
      <c r="AN441" s="496">
        <f t="shared" si="449"/>
        <v>0</v>
      </c>
      <c r="AO441" s="496">
        <f t="shared" si="450"/>
        <v>0</v>
      </c>
      <c r="AP441" s="496">
        <f>AQ441</f>
        <v>2233</v>
      </c>
      <c r="AQ441" s="496">
        <v>2233</v>
      </c>
      <c r="AR441" s="496"/>
      <c r="AS441" s="496"/>
      <c r="AT441" s="517"/>
      <c r="AU441" s="484">
        <f t="shared" si="479"/>
        <v>0</v>
      </c>
      <c r="AV441" s="484">
        <f t="shared" si="476"/>
        <v>0</v>
      </c>
      <c r="AW441" s="517"/>
      <c r="AX441" s="548"/>
      <c r="BG441" s="488">
        <f t="shared" si="480"/>
        <v>0</v>
      </c>
    </row>
    <row r="442" spans="1:59" s="82" customFormat="1" ht="102.75" customHeight="1">
      <c r="A442" s="517">
        <v>2</v>
      </c>
      <c r="B442" s="723" t="s">
        <v>979</v>
      </c>
      <c r="C442" s="494" t="s">
        <v>653</v>
      </c>
      <c r="D442" s="494"/>
      <c r="E442" s="494"/>
      <c r="F442" s="494"/>
      <c r="G442" s="494"/>
      <c r="H442" s="494"/>
      <c r="I442" s="494"/>
      <c r="J442" s="578" t="s">
        <v>1058</v>
      </c>
      <c r="K442" s="621">
        <v>206256</v>
      </c>
      <c r="L442" s="621">
        <v>3379</v>
      </c>
      <c r="M442" s="496">
        <v>517</v>
      </c>
      <c r="N442" s="496">
        <v>517</v>
      </c>
      <c r="O442" s="496"/>
      <c r="P442" s="496"/>
      <c r="Q442" s="496">
        <f t="shared" si="494"/>
        <v>1034</v>
      </c>
      <c r="R442" s="496">
        <f t="shared" si="495"/>
        <v>1034</v>
      </c>
      <c r="S442" s="496">
        <f>T442</f>
        <v>3379</v>
      </c>
      <c r="T442" s="496">
        <v>3379</v>
      </c>
      <c r="U442" s="496"/>
      <c r="V442" s="496"/>
      <c r="W442" s="496"/>
      <c r="X442" s="496">
        <v>517</v>
      </c>
      <c r="Y442" s="496">
        <v>517</v>
      </c>
      <c r="Z442" s="496"/>
      <c r="AA442" s="496"/>
      <c r="AB442" s="496">
        <v>1608</v>
      </c>
      <c r="AC442" s="496">
        <v>1608</v>
      </c>
      <c r="AD442" s="496"/>
      <c r="AE442" s="496"/>
      <c r="AF442" s="496"/>
      <c r="AG442" s="496"/>
      <c r="AH442" s="496">
        <f t="shared" si="491"/>
        <v>2125</v>
      </c>
      <c r="AI442" s="496">
        <f t="shared" si="492"/>
        <v>2125</v>
      </c>
      <c r="AJ442" s="496"/>
      <c r="AK442" s="496"/>
      <c r="AL442" s="496">
        <f t="shared" ref="AL442:AM476" si="496">AP442</f>
        <v>1254</v>
      </c>
      <c r="AM442" s="496">
        <f t="shared" ref="AM442:AM476" si="497">AQ442</f>
        <v>1254</v>
      </c>
      <c r="AN442" s="496">
        <f t="shared" ref="AN442:AN476" si="498">AR442</f>
        <v>0</v>
      </c>
      <c r="AO442" s="496">
        <f t="shared" ref="AO442:AO476" si="499">AS442</f>
        <v>0</v>
      </c>
      <c r="AP442" s="496">
        <f>AQ442</f>
        <v>1254</v>
      </c>
      <c r="AQ442" s="496">
        <f>T442-Y442-AC442</f>
        <v>1254</v>
      </c>
      <c r="AR442" s="496"/>
      <c r="AS442" s="496"/>
      <c r="AT442" s="517"/>
      <c r="AU442" s="484">
        <f t="shared" si="479"/>
        <v>0</v>
      </c>
      <c r="AV442" s="484">
        <f t="shared" si="476"/>
        <v>0</v>
      </c>
      <c r="AW442" s="517"/>
      <c r="AX442" s="548"/>
      <c r="BG442" s="488">
        <f t="shared" si="480"/>
        <v>0</v>
      </c>
    </row>
    <row r="443" spans="1:59" s="81" customFormat="1" ht="59.25" customHeight="1">
      <c r="A443" s="727" t="s">
        <v>701</v>
      </c>
      <c r="B443" s="728" t="s">
        <v>704</v>
      </c>
      <c r="C443" s="480"/>
      <c r="D443" s="480"/>
      <c r="E443" s="480"/>
      <c r="F443" s="480"/>
      <c r="G443" s="480"/>
      <c r="H443" s="480"/>
      <c r="I443" s="480"/>
      <c r="J443" s="481"/>
      <c r="K443" s="482">
        <f>K444</f>
        <v>52204</v>
      </c>
      <c r="L443" s="482">
        <f t="shared" ref="L443:AS445" si="500">L444</f>
        <v>18204</v>
      </c>
      <c r="M443" s="482">
        <f t="shared" si="500"/>
        <v>15000</v>
      </c>
      <c r="N443" s="482">
        <f t="shared" si="500"/>
        <v>0</v>
      </c>
      <c r="O443" s="482">
        <f t="shared" si="500"/>
        <v>0</v>
      </c>
      <c r="P443" s="482">
        <f t="shared" si="500"/>
        <v>0</v>
      </c>
      <c r="Q443" s="482">
        <f t="shared" si="500"/>
        <v>33000</v>
      </c>
      <c r="R443" s="482">
        <f t="shared" si="500"/>
        <v>5000</v>
      </c>
      <c r="S443" s="482">
        <f t="shared" si="500"/>
        <v>18204</v>
      </c>
      <c r="T443" s="482">
        <f t="shared" si="500"/>
        <v>18204</v>
      </c>
      <c r="U443" s="482">
        <f t="shared" si="500"/>
        <v>0</v>
      </c>
      <c r="V443" s="482">
        <f t="shared" si="500"/>
        <v>0</v>
      </c>
      <c r="W443" s="482">
        <f t="shared" si="500"/>
        <v>0</v>
      </c>
      <c r="X443" s="482">
        <f t="shared" si="500"/>
        <v>18000</v>
      </c>
      <c r="Y443" s="482">
        <f t="shared" si="500"/>
        <v>5000</v>
      </c>
      <c r="Z443" s="482">
        <f t="shared" si="500"/>
        <v>0</v>
      </c>
      <c r="AA443" s="482">
        <f t="shared" si="500"/>
        <v>0</v>
      </c>
      <c r="AB443" s="482">
        <f t="shared" si="500"/>
        <v>9500</v>
      </c>
      <c r="AC443" s="482">
        <f t="shared" si="500"/>
        <v>9500</v>
      </c>
      <c r="AD443" s="482">
        <f t="shared" si="500"/>
        <v>0</v>
      </c>
      <c r="AE443" s="482">
        <f t="shared" si="500"/>
        <v>0</v>
      </c>
      <c r="AF443" s="482">
        <f t="shared" si="500"/>
        <v>6562.5039999999999</v>
      </c>
      <c r="AG443" s="482">
        <f t="shared" si="500"/>
        <v>8615.1189140000006</v>
      </c>
      <c r="AH443" s="482">
        <f t="shared" si="500"/>
        <v>27500</v>
      </c>
      <c r="AI443" s="482">
        <f t="shared" si="500"/>
        <v>14500</v>
      </c>
      <c r="AJ443" s="482"/>
      <c r="AK443" s="482"/>
      <c r="AL443" s="482">
        <f t="shared" si="500"/>
        <v>3552</v>
      </c>
      <c r="AM443" s="482">
        <f t="shared" si="500"/>
        <v>3552</v>
      </c>
      <c r="AN443" s="482">
        <f t="shared" si="500"/>
        <v>0</v>
      </c>
      <c r="AO443" s="482">
        <f t="shared" si="500"/>
        <v>0</v>
      </c>
      <c r="AP443" s="482">
        <f t="shared" si="500"/>
        <v>3552</v>
      </c>
      <c r="AQ443" s="482">
        <f t="shared" si="500"/>
        <v>3552</v>
      </c>
      <c r="AR443" s="482">
        <f t="shared" si="500"/>
        <v>0</v>
      </c>
      <c r="AS443" s="482">
        <f t="shared" si="500"/>
        <v>0</v>
      </c>
      <c r="AT443" s="716"/>
      <c r="AU443" s="484">
        <f t="shared" ref="AU443:AU476" si="501">AP443-AQ443</f>
        <v>0</v>
      </c>
      <c r="AV443" s="489">
        <f t="shared" si="476"/>
        <v>0</v>
      </c>
      <c r="AW443" s="716"/>
      <c r="AX443" s="537"/>
      <c r="BG443" s="488">
        <f t="shared" ref="BG443:BG476" si="502">AL443-AQ443</f>
        <v>0</v>
      </c>
    </row>
    <row r="444" spans="1:59" s="81" customFormat="1" ht="59.25" customHeight="1">
      <c r="A444" s="478" t="s">
        <v>33</v>
      </c>
      <c r="B444" s="539" t="s">
        <v>286</v>
      </c>
      <c r="C444" s="480"/>
      <c r="D444" s="480"/>
      <c r="E444" s="480"/>
      <c r="F444" s="480"/>
      <c r="G444" s="480"/>
      <c r="H444" s="480"/>
      <c r="I444" s="480"/>
      <c r="J444" s="481"/>
      <c r="K444" s="482">
        <f>K445</f>
        <v>52204</v>
      </c>
      <c r="L444" s="482">
        <f t="shared" si="500"/>
        <v>18204</v>
      </c>
      <c r="M444" s="482">
        <f t="shared" si="500"/>
        <v>15000</v>
      </c>
      <c r="N444" s="482">
        <f t="shared" si="500"/>
        <v>0</v>
      </c>
      <c r="O444" s="482">
        <f t="shared" si="500"/>
        <v>0</v>
      </c>
      <c r="P444" s="482">
        <f t="shared" si="500"/>
        <v>0</v>
      </c>
      <c r="Q444" s="482">
        <f t="shared" si="500"/>
        <v>33000</v>
      </c>
      <c r="R444" s="482">
        <f t="shared" si="500"/>
        <v>5000</v>
      </c>
      <c r="S444" s="482">
        <f t="shared" si="500"/>
        <v>18204</v>
      </c>
      <c r="T444" s="482">
        <f t="shared" si="500"/>
        <v>18204</v>
      </c>
      <c r="U444" s="482">
        <f t="shared" si="500"/>
        <v>0</v>
      </c>
      <c r="V444" s="482">
        <f t="shared" si="500"/>
        <v>0</v>
      </c>
      <c r="W444" s="482">
        <f t="shared" si="500"/>
        <v>0</v>
      </c>
      <c r="X444" s="482">
        <f t="shared" si="500"/>
        <v>18000</v>
      </c>
      <c r="Y444" s="482">
        <f t="shared" si="500"/>
        <v>5000</v>
      </c>
      <c r="Z444" s="482">
        <f t="shared" si="500"/>
        <v>0</v>
      </c>
      <c r="AA444" s="482">
        <f t="shared" si="500"/>
        <v>0</v>
      </c>
      <c r="AB444" s="482">
        <f t="shared" si="500"/>
        <v>9500</v>
      </c>
      <c r="AC444" s="482">
        <f t="shared" si="500"/>
        <v>9500</v>
      </c>
      <c r="AD444" s="482">
        <f t="shared" si="500"/>
        <v>0</v>
      </c>
      <c r="AE444" s="482">
        <f t="shared" si="500"/>
        <v>0</v>
      </c>
      <c r="AF444" s="482">
        <f t="shared" si="500"/>
        <v>6562.5039999999999</v>
      </c>
      <c r="AG444" s="482">
        <f t="shared" si="500"/>
        <v>8615.1189140000006</v>
      </c>
      <c r="AH444" s="482">
        <f t="shared" si="500"/>
        <v>27500</v>
      </c>
      <c r="AI444" s="482">
        <f t="shared" si="500"/>
        <v>14500</v>
      </c>
      <c r="AJ444" s="482"/>
      <c r="AK444" s="482"/>
      <c r="AL444" s="482">
        <f t="shared" si="500"/>
        <v>3552</v>
      </c>
      <c r="AM444" s="482">
        <f t="shared" si="500"/>
        <v>3552</v>
      </c>
      <c r="AN444" s="482">
        <f t="shared" si="500"/>
        <v>0</v>
      </c>
      <c r="AO444" s="482">
        <f t="shared" si="500"/>
        <v>0</v>
      </c>
      <c r="AP444" s="482">
        <f t="shared" si="500"/>
        <v>3552</v>
      </c>
      <c r="AQ444" s="482">
        <f t="shared" si="500"/>
        <v>3552</v>
      </c>
      <c r="AR444" s="482">
        <f t="shared" si="500"/>
        <v>0</v>
      </c>
      <c r="AS444" s="482">
        <f t="shared" si="500"/>
        <v>0</v>
      </c>
      <c r="AT444" s="716"/>
      <c r="AU444" s="484">
        <f t="shared" si="501"/>
        <v>0</v>
      </c>
      <c r="AV444" s="489"/>
      <c r="AW444" s="716"/>
      <c r="AX444" s="537"/>
      <c r="BG444" s="488">
        <f t="shared" si="502"/>
        <v>0</v>
      </c>
    </row>
    <row r="445" spans="1:59" s="81" customFormat="1" ht="59.25" customHeight="1">
      <c r="A445" s="556" t="s">
        <v>35</v>
      </c>
      <c r="B445" s="557" t="s">
        <v>45</v>
      </c>
      <c r="C445" s="480"/>
      <c r="D445" s="480"/>
      <c r="E445" s="480"/>
      <c r="F445" s="480"/>
      <c r="G445" s="480"/>
      <c r="H445" s="480"/>
      <c r="I445" s="480"/>
      <c r="J445" s="481"/>
      <c r="K445" s="482">
        <f>K446</f>
        <v>52204</v>
      </c>
      <c r="L445" s="482">
        <f t="shared" si="500"/>
        <v>18204</v>
      </c>
      <c r="M445" s="482">
        <f t="shared" si="500"/>
        <v>15000</v>
      </c>
      <c r="N445" s="482">
        <f t="shared" si="500"/>
        <v>0</v>
      </c>
      <c r="O445" s="482">
        <f t="shared" si="500"/>
        <v>0</v>
      </c>
      <c r="P445" s="482">
        <f t="shared" si="500"/>
        <v>0</v>
      </c>
      <c r="Q445" s="482">
        <f t="shared" si="500"/>
        <v>33000</v>
      </c>
      <c r="R445" s="482">
        <f t="shared" si="500"/>
        <v>5000</v>
      </c>
      <c r="S445" s="482">
        <f t="shared" si="500"/>
        <v>18204</v>
      </c>
      <c r="T445" s="482">
        <f t="shared" si="500"/>
        <v>18204</v>
      </c>
      <c r="U445" s="482">
        <f t="shared" si="500"/>
        <v>0</v>
      </c>
      <c r="V445" s="482">
        <f t="shared" si="500"/>
        <v>0</v>
      </c>
      <c r="W445" s="482">
        <f t="shared" si="500"/>
        <v>0</v>
      </c>
      <c r="X445" s="482">
        <f t="shared" si="500"/>
        <v>18000</v>
      </c>
      <c r="Y445" s="482">
        <f t="shared" si="500"/>
        <v>5000</v>
      </c>
      <c r="Z445" s="482">
        <f t="shared" si="500"/>
        <v>0</v>
      </c>
      <c r="AA445" s="482">
        <f t="shared" si="500"/>
        <v>0</v>
      </c>
      <c r="AB445" s="482">
        <f t="shared" si="500"/>
        <v>9500</v>
      </c>
      <c r="AC445" s="482">
        <f t="shared" si="500"/>
        <v>9500</v>
      </c>
      <c r="AD445" s="482">
        <f t="shared" si="500"/>
        <v>0</v>
      </c>
      <c r="AE445" s="482">
        <f t="shared" si="500"/>
        <v>0</v>
      </c>
      <c r="AF445" s="482">
        <f t="shared" si="500"/>
        <v>6562.5039999999999</v>
      </c>
      <c r="AG445" s="482">
        <f t="shared" si="500"/>
        <v>8615.1189140000006</v>
      </c>
      <c r="AH445" s="482">
        <f t="shared" si="500"/>
        <v>27500</v>
      </c>
      <c r="AI445" s="482">
        <f t="shared" si="500"/>
        <v>14500</v>
      </c>
      <c r="AJ445" s="482"/>
      <c r="AK445" s="482"/>
      <c r="AL445" s="482">
        <f t="shared" si="500"/>
        <v>3552</v>
      </c>
      <c r="AM445" s="482">
        <f t="shared" si="500"/>
        <v>3552</v>
      </c>
      <c r="AN445" s="482">
        <f t="shared" si="500"/>
        <v>0</v>
      </c>
      <c r="AO445" s="482">
        <f t="shared" si="500"/>
        <v>0</v>
      </c>
      <c r="AP445" s="482">
        <f t="shared" si="500"/>
        <v>3552</v>
      </c>
      <c r="AQ445" s="482">
        <f t="shared" si="500"/>
        <v>3552</v>
      </c>
      <c r="AR445" s="482">
        <f t="shared" si="500"/>
        <v>0</v>
      </c>
      <c r="AS445" s="482">
        <f t="shared" si="500"/>
        <v>0</v>
      </c>
      <c r="AT445" s="716"/>
      <c r="AU445" s="484">
        <f t="shared" si="501"/>
        <v>0</v>
      </c>
      <c r="AV445" s="489"/>
      <c r="AW445" s="716"/>
      <c r="AX445" s="537"/>
      <c r="BG445" s="488">
        <f t="shared" si="502"/>
        <v>0</v>
      </c>
    </row>
    <row r="446" spans="1:59" s="82" customFormat="1" ht="73.5" customHeight="1">
      <c r="A446" s="729">
        <v>1</v>
      </c>
      <c r="B446" s="628" t="s">
        <v>705</v>
      </c>
      <c r="C446" s="494" t="s">
        <v>697</v>
      </c>
      <c r="D446" s="494"/>
      <c r="E446" s="494"/>
      <c r="F446" s="494"/>
      <c r="G446" s="494"/>
      <c r="H446" s="494"/>
      <c r="I446" s="494"/>
      <c r="J446" s="495" t="s">
        <v>706</v>
      </c>
      <c r="K446" s="496">
        <v>52204</v>
      </c>
      <c r="L446" s="496">
        <v>18204</v>
      </c>
      <c r="M446" s="496">
        <v>15000</v>
      </c>
      <c r="N446" s="496"/>
      <c r="O446" s="496"/>
      <c r="P446" s="496"/>
      <c r="Q446" s="496">
        <f t="shared" ref="Q446:R448" si="503">M446+X446</f>
        <v>33000</v>
      </c>
      <c r="R446" s="496">
        <f t="shared" si="503"/>
        <v>5000</v>
      </c>
      <c r="S446" s="496">
        <v>18204</v>
      </c>
      <c r="T446" s="496">
        <v>18204</v>
      </c>
      <c r="U446" s="496"/>
      <c r="V446" s="496"/>
      <c r="W446" s="496"/>
      <c r="X446" s="496">
        <v>18000</v>
      </c>
      <c r="Y446" s="496">
        <v>5000</v>
      </c>
      <c r="Z446" s="496"/>
      <c r="AA446" s="496"/>
      <c r="AB446" s="496">
        <v>9500</v>
      </c>
      <c r="AC446" s="496">
        <v>9500</v>
      </c>
      <c r="AD446" s="496"/>
      <c r="AE446" s="496"/>
      <c r="AF446" s="547">
        <v>6562.5039999999999</v>
      </c>
      <c r="AG446" s="547">
        <v>8615.1189140000006</v>
      </c>
      <c r="AH446" s="496">
        <f t="shared" si="491"/>
        <v>27500</v>
      </c>
      <c r="AI446" s="496">
        <f t="shared" si="492"/>
        <v>14500</v>
      </c>
      <c r="AJ446" s="496"/>
      <c r="AK446" s="496"/>
      <c r="AL446" s="496">
        <f t="shared" si="496"/>
        <v>3552</v>
      </c>
      <c r="AM446" s="496">
        <f t="shared" si="497"/>
        <v>3552</v>
      </c>
      <c r="AN446" s="496">
        <f t="shared" si="498"/>
        <v>0</v>
      </c>
      <c r="AO446" s="496">
        <f t="shared" si="499"/>
        <v>0</v>
      </c>
      <c r="AP446" s="496">
        <f>AQ446</f>
        <v>3552</v>
      </c>
      <c r="AQ446" s="496">
        <v>3552</v>
      </c>
      <c r="AR446" s="496"/>
      <c r="AS446" s="496"/>
      <c r="AT446" s="517" t="s">
        <v>946</v>
      </c>
      <c r="AU446" s="484">
        <f t="shared" si="501"/>
        <v>0</v>
      </c>
      <c r="AV446" s="484">
        <f t="shared" si="476"/>
        <v>0</v>
      </c>
      <c r="AW446" s="517"/>
      <c r="AX446" s="548"/>
      <c r="BG446" s="488">
        <f t="shared" si="502"/>
        <v>0</v>
      </c>
    </row>
    <row r="447" spans="1:59" s="81" customFormat="1" ht="59.25" customHeight="1">
      <c r="A447" s="727" t="s">
        <v>702</v>
      </c>
      <c r="B447" s="730" t="s">
        <v>707</v>
      </c>
      <c r="C447" s="480"/>
      <c r="D447" s="480"/>
      <c r="E447" s="480"/>
      <c r="F447" s="480"/>
      <c r="G447" s="480"/>
      <c r="H447" s="480"/>
      <c r="I447" s="480"/>
      <c r="J447" s="731"/>
      <c r="K447" s="519">
        <v>282000</v>
      </c>
      <c r="L447" s="482">
        <v>55000</v>
      </c>
      <c r="M447" s="482"/>
      <c r="N447" s="482"/>
      <c r="O447" s="482"/>
      <c r="P447" s="482"/>
      <c r="Q447" s="496">
        <f t="shared" si="503"/>
        <v>0</v>
      </c>
      <c r="R447" s="496">
        <f t="shared" si="503"/>
        <v>0</v>
      </c>
      <c r="S447" s="482">
        <v>282000</v>
      </c>
      <c r="T447" s="482">
        <v>55000</v>
      </c>
      <c r="U447" s="482"/>
      <c r="V447" s="482"/>
      <c r="W447" s="482"/>
      <c r="X447" s="482"/>
      <c r="Y447" s="482"/>
      <c r="Z447" s="482"/>
      <c r="AA447" s="482"/>
      <c r="AB447" s="482"/>
      <c r="AC447" s="482"/>
      <c r="AD447" s="482"/>
      <c r="AE447" s="482"/>
      <c r="AF447" s="482">
        <f>AE447</f>
        <v>0</v>
      </c>
      <c r="AG447" s="482">
        <f>AF447</f>
        <v>0</v>
      </c>
      <c r="AH447" s="482">
        <f t="shared" si="491"/>
        <v>0</v>
      </c>
      <c r="AI447" s="482">
        <f t="shared" si="492"/>
        <v>0</v>
      </c>
      <c r="AJ447" s="482"/>
      <c r="AK447" s="482"/>
      <c r="AL447" s="482">
        <f t="shared" si="496"/>
        <v>9000</v>
      </c>
      <c r="AM447" s="482">
        <f t="shared" si="497"/>
        <v>9000</v>
      </c>
      <c r="AN447" s="482">
        <f t="shared" si="498"/>
        <v>0</v>
      </c>
      <c r="AO447" s="482">
        <f t="shared" si="499"/>
        <v>0</v>
      </c>
      <c r="AP447" s="732">
        <f>AQ447</f>
        <v>9000</v>
      </c>
      <c r="AQ447" s="732">
        <v>9000</v>
      </c>
      <c r="AR447" s="732"/>
      <c r="AS447" s="732"/>
      <c r="AT447" s="733"/>
      <c r="AU447" s="484">
        <f t="shared" si="501"/>
        <v>0</v>
      </c>
      <c r="AV447" s="484">
        <f t="shared" ref="AV447:AV476" si="504">V447-AA447</f>
        <v>0</v>
      </c>
      <c r="AW447" s="733"/>
      <c r="AX447" s="537"/>
      <c r="BG447" s="488">
        <f t="shared" si="502"/>
        <v>0</v>
      </c>
    </row>
    <row r="448" spans="1:59" s="81" customFormat="1" ht="59.25" customHeight="1">
      <c r="A448" s="727" t="s">
        <v>703</v>
      </c>
      <c r="B448" s="730" t="s">
        <v>708</v>
      </c>
      <c r="C448" s="480"/>
      <c r="D448" s="480"/>
      <c r="E448" s="480"/>
      <c r="F448" s="480"/>
      <c r="G448" s="480"/>
      <c r="H448" s="480"/>
      <c r="I448" s="480"/>
      <c r="J448" s="481"/>
      <c r="K448" s="519">
        <v>237441</v>
      </c>
      <c r="L448" s="482">
        <v>15489</v>
      </c>
      <c r="M448" s="482"/>
      <c r="N448" s="482"/>
      <c r="O448" s="482"/>
      <c r="P448" s="482"/>
      <c r="Q448" s="496">
        <f t="shared" si="503"/>
        <v>0</v>
      </c>
      <c r="R448" s="496">
        <f t="shared" si="503"/>
        <v>0</v>
      </c>
      <c r="S448" s="482">
        <v>237441</v>
      </c>
      <c r="T448" s="482">
        <v>15489</v>
      </c>
      <c r="U448" s="482"/>
      <c r="V448" s="482"/>
      <c r="W448" s="482"/>
      <c r="X448" s="482"/>
      <c r="Y448" s="482"/>
      <c r="Z448" s="482"/>
      <c r="AA448" s="482"/>
      <c r="AB448" s="482">
        <v>2000</v>
      </c>
      <c r="AC448" s="482">
        <v>2000</v>
      </c>
      <c r="AD448" s="482"/>
      <c r="AE448" s="482"/>
      <c r="AF448" s="482"/>
      <c r="AG448" s="482"/>
      <c r="AH448" s="482">
        <f>X448+AB448</f>
        <v>2000</v>
      </c>
      <c r="AI448" s="482">
        <f t="shared" si="492"/>
        <v>2000</v>
      </c>
      <c r="AJ448" s="482"/>
      <c r="AK448" s="482"/>
      <c r="AL448" s="482">
        <f t="shared" si="496"/>
        <v>5000</v>
      </c>
      <c r="AM448" s="482">
        <f t="shared" si="497"/>
        <v>5000</v>
      </c>
      <c r="AN448" s="482">
        <f t="shared" si="498"/>
        <v>0</v>
      </c>
      <c r="AO448" s="482">
        <f t="shared" si="499"/>
        <v>0</v>
      </c>
      <c r="AP448" s="732">
        <f>AQ448</f>
        <v>5000</v>
      </c>
      <c r="AQ448" s="732">
        <v>5000</v>
      </c>
      <c r="AR448" s="732"/>
      <c r="AS448" s="732"/>
      <c r="AT448" s="733"/>
      <c r="AU448" s="484">
        <f t="shared" si="501"/>
        <v>0</v>
      </c>
      <c r="AV448" s="484">
        <f t="shared" si="504"/>
        <v>0</v>
      </c>
      <c r="AW448" s="733">
        <f>AC448</f>
        <v>2000</v>
      </c>
      <c r="AX448" s="537"/>
      <c r="BG448" s="488">
        <f t="shared" si="502"/>
        <v>0</v>
      </c>
    </row>
    <row r="449" spans="1:59" s="81" customFormat="1" ht="59.25" customHeight="1">
      <c r="A449" s="734" t="s">
        <v>709</v>
      </c>
      <c r="B449" s="735" t="s">
        <v>710</v>
      </c>
      <c r="C449" s="480"/>
      <c r="D449" s="480"/>
      <c r="E449" s="480"/>
      <c r="F449" s="480"/>
      <c r="G449" s="480"/>
      <c r="H449" s="480"/>
      <c r="I449" s="480"/>
      <c r="J449" s="481"/>
      <c r="K449" s="482">
        <f t="shared" ref="K449:AS449" si="505">K450+K451+K455+K459</f>
        <v>309475.19938799995</v>
      </c>
      <c r="L449" s="482">
        <f t="shared" si="505"/>
        <v>55926.272349000006</v>
      </c>
      <c r="M449" s="482">
        <f t="shared" si="505"/>
        <v>31863.69</v>
      </c>
      <c r="N449" s="482">
        <f t="shared" si="505"/>
        <v>4263</v>
      </c>
      <c r="O449" s="482">
        <f t="shared" si="505"/>
        <v>0</v>
      </c>
      <c r="P449" s="482">
        <f t="shared" si="505"/>
        <v>0</v>
      </c>
      <c r="Q449" s="482">
        <f t="shared" si="505"/>
        <v>36363.69</v>
      </c>
      <c r="R449" s="482">
        <f t="shared" si="505"/>
        <v>8763</v>
      </c>
      <c r="S449" s="482">
        <f t="shared" si="505"/>
        <v>189830.148388</v>
      </c>
      <c r="T449" s="482">
        <f t="shared" si="505"/>
        <v>48495.672349</v>
      </c>
      <c r="U449" s="482">
        <f t="shared" si="505"/>
        <v>0</v>
      </c>
      <c r="V449" s="482">
        <f t="shared" si="505"/>
        <v>0</v>
      </c>
      <c r="W449" s="482">
        <f t="shared" si="505"/>
        <v>7503</v>
      </c>
      <c r="X449" s="482">
        <f t="shared" si="505"/>
        <v>4500</v>
      </c>
      <c r="Y449" s="482">
        <f t="shared" si="505"/>
        <v>4500</v>
      </c>
      <c r="Z449" s="482">
        <f t="shared" si="505"/>
        <v>0</v>
      </c>
      <c r="AA449" s="482">
        <f t="shared" si="505"/>
        <v>0</v>
      </c>
      <c r="AB449" s="482">
        <f t="shared" si="505"/>
        <v>6600</v>
      </c>
      <c r="AC449" s="482">
        <f t="shared" si="505"/>
        <v>6600</v>
      </c>
      <c r="AD449" s="482">
        <f t="shared" si="505"/>
        <v>0</v>
      </c>
      <c r="AE449" s="482">
        <f t="shared" si="505"/>
        <v>0</v>
      </c>
      <c r="AF449" s="482">
        <f t="shared" si="505"/>
        <v>1998.94991</v>
      </c>
      <c r="AG449" s="482">
        <f t="shared" si="505"/>
        <v>1998.94991</v>
      </c>
      <c r="AH449" s="482">
        <f t="shared" si="505"/>
        <v>9985</v>
      </c>
      <c r="AI449" s="482">
        <f t="shared" si="505"/>
        <v>9985</v>
      </c>
      <c r="AJ449" s="482">
        <f t="shared" si="505"/>
        <v>0</v>
      </c>
      <c r="AK449" s="482">
        <f t="shared" si="505"/>
        <v>0</v>
      </c>
      <c r="AL449" s="482">
        <f t="shared" si="505"/>
        <v>3646</v>
      </c>
      <c r="AM449" s="482">
        <f t="shared" si="505"/>
        <v>3646</v>
      </c>
      <c r="AN449" s="482">
        <f t="shared" si="505"/>
        <v>0</v>
      </c>
      <c r="AO449" s="482">
        <f t="shared" si="505"/>
        <v>0</v>
      </c>
      <c r="AP449" s="482">
        <f t="shared" si="505"/>
        <v>11646</v>
      </c>
      <c r="AQ449" s="482">
        <f t="shared" si="505"/>
        <v>11646</v>
      </c>
      <c r="AR449" s="482">
        <f t="shared" si="505"/>
        <v>0</v>
      </c>
      <c r="AS449" s="482">
        <f t="shared" si="505"/>
        <v>0</v>
      </c>
      <c r="AT449" s="716"/>
      <c r="AU449" s="484">
        <f t="shared" si="501"/>
        <v>0</v>
      </c>
      <c r="AV449" s="484">
        <f t="shared" si="504"/>
        <v>0</v>
      </c>
      <c r="AW449" s="716"/>
      <c r="AX449" s="537"/>
      <c r="BG449" s="488">
        <f t="shared" si="502"/>
        <v>-8000</v>
      </c>
    </row>
    <row r="450" spans="1:59" s="81" customFormat="1" ht="59.25" customHeight="1">
      <c r="A450" s="716" t="s">
        <v>32</v>
      </c>
      <c r="B450" s="736" t="s">
        <v>711</v>
      </c>
      <c r="C450" s="480"/>
      <c r="D450" s="480"/>
      <c r="E450" s="480"/>
      <c r="F450" s="480"/>
      <c r="G450" s="480"/>
      <c r="H450" s="480"/>
      <c r="I450" s="480"/>
      <c r="J450" s="495" t="s">
        <v>712</v>
      </c>
      <c r="K450" s="482">
        <v>107725.251</v>
      </c>
      <c r="L450" s="482">
        <v>8000</v>
      </c>
      <c r="M450" s="482">
        <v>28363.69</v>
      </c>
      <c r="N450" s="482">
        <v>4263</v>
      </c>
      <c r="O450" s="482"/>
      <c r="P450" s="482"/>
      <c r="Q450" s="496">
        <f t="shared" ref="Q450:R450" si="506">M450+X450</f>
        <v>29363.69</v>
      </c>
      <c r="R450" s="496">
        <f t="shared" si="506"/>
        <v>5263</v>
      </c>
      <c r="S450" s="482">
        <v>4737</v>
      </c>
      <c r="T450" s="482">
        <v>4737</v>
      </c>
      <c r="U450" s="482"/>
      <c r="V450" s="482"/>
      <c r="W450" s="482"/>
      <c r="X450" s="482">
        <v>1000</v>
      </c>
      <c r="Y450" s="482">
        <v>1000</v>
      </c>
      <c r="Z450" s="482"/>
      <c r="AA450" s="482"/>
      <c r="AB450" s="482">
        <v>1200</v>
      </c>
      <c r="AC450" s="482">
        <v>1200</v>
      </c>
      <c r="AD450" s="482"/>
      <c r="AE450" s="482"/>
      <c r="AF450" s="482"/>
      <c r="AG450" s="482"/>
      <c r="AH450" s="482">
        <f t="shared" si="491"/>
        <v>2200</v>
      </c>
      <c r="AI450" s="482">
        <f t="shared" si="492"/>
        <v>2200</v>
      </c>
      <c r="AJ450" s="482"/>
      <c r="AK450" s="482"/>
      <c r="AL450" s="482">
        <f t="shared" si="496"/>
        <v>1500</v>
      </c>
      <c r="AM450" s="482">
        <f t="shared" si="497"/>
        <v>1500</v>
      </c>
      <c r="AN450" s="482">
        <f t="shared" si="498"/>
        <v>0</v>
      </c>
      <c r="AO450" s="482">
        <f t="shared" si="499"/>
        <v>0</v>
      </c>
      <c r="AP450" s="482">
        <f>AQ450</f>
        <v>1500</v>
      </c>
      <c r="AQ450" s="482">
        <v>1500</v>
      </c>
      <c r="AR450" s="482"/>
      <c r="AS450" s="482"/>
      <c r="AT450" s="517" t="s">
        <v>765</v>
      </c>
      <c r="AU450" s="484">
        <f t="shared" si="501"/>
        <v>0</v>
      </c>
      <c r="AV450" s="484">
        <f t="shared" si="504"/>
        <v>0</v>
      </c>
      <c r="AW450" s="716">
        <f>AC450</f>
        <v>1200</v>
      </c>
      <c r="AX450" s="537">
        <f>S450</f>
        <v>4737</v>
      </c>
      <c r="BG450" s="488">
        <f t="shared" si="502"/>
        <v>0</v>
      </c>
    </row>
    <row r="451" spans="1:59" s="81" customFormat="1" ht="59.25" customHeight="1">
      <c r="A451" s="716" t="s">
        <v>48</v>
      </c>
      <c r="B451" s="555" t="s">
        <v>713</v>
      </c>
      <c r="C451" s="480"/>
      <c r="D451" s="480"/>
      <c r="E451" s="480"/>
      <c r="F451" s="480"/>
      <c r="G451" s="480"/>
      <c r="H451" s="480"/>
      <c r="I451" s="480"/>
      <c r="J451" s="481"/>
      <c r="K451" s="482">
        <f>K452</f>
        <v>12100</v>
      </c>
      <c r="L451" s="482">
        <f t="shared" ref="L451:AS453" si="507">L452</f>
        <v>6086</v>
      </c>
      <c r="M451" s="482">
        <f t="shared" si="507"/>
        <v>2000</v>
      </c>
      <c r="N451" s="482">
        <f t="shared" si="507"/>
        <v>0</v>
      </c>
      <c r="O451" s="482">
        <f t="shared" si="507"/>
        <v>0</v>
      </c>
      <c r="P451" s="482">
        <f t="shared" si="507"/>
        <v>0</v>
      </c>
      <c r="Q451" s="482">
        <f t="shared" si="507"/>
        <v>4000</v>
      </c>
      <c r="R451" s="482">
        <f t="shared" si="507"/>
        <v>2000</v>
      </c>
      <c r="S451" s="482">
        <f t="shared" si="507"/>
        <v>6086</v>
      </c>
      <c r="T451" s="482">
        <f t="shared" si="507"/>
        <v>6086</v>
      </c>
      <c r="U451" s="482">
        <f t="shared" si="507"/>
        <v>0</v>
      </c>
      <c r="V451" s="482">
        <f t="shared" si="507"/>
        <v>0</v>
      </c>
      <c r="W451" s="482">
        <f t="shared" si="507"/>
        <v>4000</v>
      </c>
      <c r="X451" s="482">
        <f t="shared" si="507"/>
        <v>2000</v>
      </c>
      <c r="Y451" s="482">
        <f t="shared" si="507"/>
        <v>2000</v>
      </c>
      <c r="Z451" s="482">
        <f t="shared" si="507"/>
        <v>0</v>
      </c>
      <c r="AA451" s="482">
        <f t="shared" si="507"/>
        <v>0</v>
      </c>
      <c r="AB451" s="482">
        <f t="shared" si="507"/>
        <v>2000</v>
      </c>
      <c r="AC451" s="482">
        <f t="shared" si="507"/>
        <v>2000</v>
      </c>
      <c r="AD451" s="482">
        <f t="shared" si="507"/>
        <v>0</v>
      </c>
      <c r="AE451" s="482">
        <f t="shared" si="507"/>
        <v>0</v>
      </c>
      <c r="AF451" s="482">
        <f t="shared" si="507"/>
        <v>0</v>
      </c>
      <c r="AG451" s="482">
        <f t="shared" si="507"/>
        <v>0</v>
      </c>
      <c r="AH451" s="482">
        <f t="shared" si="507"/>
        <v>4000</v>
      </c>
      <c r="AI451" s="482">
        <f t="shared" si="507"/>
        <v>4000</v>
      </c>
      <c r="AJ451" s="482"/>
      <c r="AK451" s="482"/>
      <c r="AL451" s="482">
        <f t="shared" si="507"/>
        <v>1099</v>
      </c>
      <c r="AM451" s="482">
        <f t="shared" si="507"/>
        <v>1099</v>
      </c>
      <c r="AN451" s="482">
        <f t="shared" si="507"/>
        <v>0</v>
      </c>
      <c r="AO451" s="482">
        <f t="shared" si="507"/>
        <v>0</v>
      </c>
      <c r="AP451" s="482">
        <f t="shared" si="507"/>
        <v>1099</v>
      </c>
      <c r="AQ451" s="482">
        <f t="shared" si="507"/>
        <v>1099</v>
      </c>
      <c r="AR451" s="482">
        <f t="shared" si="507"/>
        <v>0</v>
      </c>
      <c r="AS451" s="482">
        <f t="shared" si="507"/>
        <v>0</v>
      </c>
      <c r="AT451" s="716"/>
      <c r="AU451" s="484">
        <f t="shared" si="501"/>
        <v>0</v>
      </c>
      <c r="AV451" s="484">
        <f t="shared" si="504"/>
        <v>0</v>
      </c>
      <c r="AW451" s="716"/>
      <c r="AX451" s="537"/>
      <c r="BG451" s="488">
        <f t="shared" si="502"/>
        <v>0</v>
      </c>
    </row>
    <row r="452" spans="1:59" s="81" customFormat="1" ht="59.25" customHeight="1">
      <c r="A452" s="478" t="s">
        <v>33</v>
      </c>
      <c r="B452" s="539" t="s">
        <v>286</v>
      </c>
      <c r="C452" s="480"/>
      <c r="D452" s="480"/>
      <c r="E452" s="480"/>
      <c r="F452" s="480"/>
      <c r="G452" s="480"/>
      <c r="H452" s="480"/>
      <c r="I452" s="480"/>
      <c r="J452" s="481"/>
      <c r="K452" s="482">
        <f>K453</f>
        <v>12100</v>
      </c>
      <c r="L452" s="482">
        <f t="shared" si="507"/>
        <v>6086</v>
      </c>
      <c r="M452" s="482">
        <f t="shared" si="507"/>
        <v>2000</v>
      </c>
      <c r="N452" s="482">
        <f t="shared" si="507"/>
        <v>0</v>
      </c>
      <c r="O452" s="482">
        <f t="shared" si="507"/>
        <v>0</v>
      </c>
      <c r="P452" s="482">
        <f t="shared" si="507"/>
        <v>0</v>
      </c>
      <c r="Q452" s="482">
        <f t="shared" si="507"/>
        <v>4000</v>
      </c>
      <c r="R452" s="482">
        <f t="shared" si="507"/>
        <v>2000</v>
      </c>
      <c r="S452" s="482">
        <f t="shared" si="507"/>
        <v>6086</v>
      </c>
      <c r="T452" s="482">
        <f t="shared" si="507"/>
        <v>6086</v>
      </c>
      <c r="U452" s="482">
        <f t="shared" si="507"/>
        <v>0</v>
      </c>
      <c r="V452" s="482">
        <f t="shared" si="507"/>
        <v>0</v>
      </c>
      <c r="W452" s="482">
        <f t="shared" si="507"/>
        <v>4000</v>
      </c>
      <c r="X452" s="482">
        <f t="shared" si="507"/>
        <v>2000</v>
      </c>
      <c r="Y452" s="482">
        <f t="shared" si="507"/>
        <v>2000</v>
      </c>
      <c r="Z452" s="482">
        <f t="shared" si="507"/>
        <v>0</v>
      </c>
      <c r="AA452" s="482">
        <f t="shared" si="507"/>
        <v>0</v>
      </c>
      <c r="AB452" s="482">
        <f t="shared" si="507"/>
        <v>2000</v>
      </c>
      <c r="AC452" s="482">
        <f t="shared" si="507"/>
        <v>2000</v>
      </c>
      <c r="AD452" s="482">
        <f t="shared" si="507"/>
        <v>0</v>
      </c>
      <c r="AE452" s="482">
        <f t="shared" si="507"/>
        <v>0</v>
      </c>
      <c r="AF452" s="482">
        <f t="shared" si="507"/>
        <v>0</v>
      </c>
      <c r="AG452" s="482">
        <f t="shared" si="507"/>
        <v>0</v>
      </c>
      <c r="AH452" s="482">
        <f t="shared" si="507"/>
        <v>4000</v>
      </c>
      <c r="AI452" s="482">
        <f t="shared" si="507"/>
        <v>4000</v>
      </c>
      <c r="AJ452" s="482"/>
      <c r="AK452" s="482"/>
      <c r="AL452" s="482">
        <f t="shared" si="507"/>
        <v>1099</v>
      </c>
      <c r="AM452" s="482">
        <f t="shared" si="507"/>
        <v>1099</v>
      </c>
      <c r="AN452" s="482">
        <f t="shared" si="507"/>
        <v>0</v>
      </c>
      <c r="AO452" s="482">
        <f t="shared" si="507"/>
        <v>0</v>
      </c>
      <c r="AP452" s="482">
        <f t="shared" si="507"/>
        <v>1099</v>
      </c>
      <c r="AQ452" s="482">
        <f t="shared" si="507"/>
        <v>1099</v>
      </c>
      <c r="AR452" s="482">
        <f t="shared" si="507"/>
        <v>0</v>
      </c>
      <c r="AS452" s="482">
        <f t="shared" si="507"/>
        <v>0</v>
      </c>
      <c r="AT452" s="716"/>
      <c r="AU452" s="484">
        <f t="shared" si="501"/>
        <v>0</v>
      </c>
      <c r="AV452" s="484"/>
      <c r="AW452" s="716"/>
      <c r="AX452" s="537"/>
      <c r="BG452" s="488">
        <f t="shared" si="502"/>
        <v>0</v>
      </c>
    </row>
    <row r="453" spans="1:59" s="81" customFormat="1" ht="59.25" customHeight="1">
      <c r="A453" s="556"/>
      <c r="B453" s="557" t="s">
        <v>45</v>
      </c>
      <c r="C453" s="480"/>
      <c r="D453" s="480"/>
      <c r="E453" s="480"/>
      <c r="F453" s="480"/>
      <c r="G453" s="480"/>
      <c r="H453" s="480"/>
      <c r="I453" s="480"/>
      <c r="J453" s="481"/>
      <c r="K453" s="482">
        <f>K454</f>
        <v>12100</v>
      </c>
      <c r="L453" s="482">
        <f t="shared" si="507"/>
        <v>6086</v>
      </c>
      <c r="M453" s="482">
        <f t="shared" si="507"/>
        <v>2000</v>
      </c>
      <c r="N453" s="482">
        <f t="shared" si="507"/>
        <v>0</v>
      </c>
      <c r="O453" s="482">
        <f t="shared" si="507"/>
        <v>0</v>
      </c>
      <c r="P453" s="482">
        <f t="shared" si="507"/>
        <v>0</v>
      </c>
      <c r="Q453" s="482">
        <f t="shared" si="507"/>
        <v>4000</v>
      </c>
      <c r="R453" s="482">
        <f t="shared" si="507"/>
        <v>2000</v>
      </c>
      <c r="S453" s="482">
        <f t="shared" si="507"/>
        <v>6086</v>
      </c>
      <c r="T453" s="482">
        <f t="shared" si="507"/>
        <v>6086</v>
      </c>
      <c r="U453" s="482">
        <f t="shared" si="507"/>
        <v>0</v>
      </c>
      <c r="V453" s="482">
        <f t="shared" si="507"/>
        <v>0</v>
      </c>
      <c r="W453" s="482">
        <f t="shared" si="507"/>
        <v>4000</v>
      </c>
      <c r="X453" s="482">
        <f t="shared" si="507"/>
        <v>2000</v>
      </c>
      <c r="Y453" s="482">
        <f t="shared" si="507"/>
        <v>2000</v>
      </c>
      <c r="Z453" s="482">
        <f t="shared" si="507"/>
        <v>0</v>
      </c>
      <c r="AA453" s="482">
        <f t="shared" si="507"/>
        <v>0</v>
      </c>
      <c r="AB453" s="482">
        <f t="shared" si="507"/>
        <v>2000</v>
      </c>
      <c r="AC453" s="482">
        <f t="shared" si="507"/>
        <v>2000</v>
      </c>
      <c r="AD453" s="482">
        <f t="shared" si="507"/>
        <v>0</v>
      </c>
      <c r="AE453" s="482">
        <f t="shared" si="507"/>
        <v>0</v>
      </c>
      <c r="AF453" s="482">
        <f t="shared" si="507"/>
        <v>0</v>
      </c>
      <c r="AG453" s="482">
        <f t="shared" si="507"/>
        <v>0</v>
      </c>
      <c r="AH453" s="482">
        <f t="shared" si="507"/>
        <v>4000</v>
      </c>
      <c r="AI453" s="482">
        <f t="shared" si="507"/>
        <v>4000</v>
      </c>
      <c r="AJ453" s="482">
        <f t="shared" si="507"/>
        <v>0</v>
      </c>
      <c r="AK453" s="482">
        <f t="shared" si="507"/>
        <v>0</v>
      </c>
      <c r="AL453" s="482">
        <f t="shared" si="507"/>
        <v>1099</v>
      </c>
      <c r="AM453" s="482">
        <f t="shared" si="507"/>
        <v>1099</v>
      </c>
      <c r="AN453" s="482">
        <f t="shared" si="507"/>
        <v>0</v>
      </c>
      <c r="AO453" s="482">
        <f t="shared" si="507"/>
        <v>0</v>
      </c>
      <c r="AP453" s="482">
        <f t="shared" si="507"/>
        <v>1099</v>
      </c>
      <c r="AQ453" s="482">
        <f t="shared" si="507"/>
        <v>1099</v>
      </c>
      <c r="AR453" s="482">
        <f t="shared" si="507"/>
        <v>0</v>
      </c>
      <c r="AS453" s="482">
        <f t="shared" si="507"/>
        <v>0</v>
      </c>
      <c r="AT453" s="716"/>
      <c r="AU453" s="484">
        <f t="shared" si="501"/>
        <v>0</v>
      </c>
      <c r="AV453" s="484"/>
      <c r="AW453" s="716"/>
      <c r="AX453" s="537"/>
      <c r="BG453" s="488">
        <f t="shared" si="502"/>
        <v>0</v>
      </c>
    </row>
    <row r="454" spans="1:59" s="82" customFormat="1" ht="59.25" customHeight="1">
      <c r="A454" s="517">
        <v>5</v>
      </c>
      <c r="B454" s="628" t="s">
        <v>714</v>
      </c>
      <c r="C454" s="494" t="s">
        <v>487</v>
      </c>
      <c r="D454" s="494"/>
      <c r="E454" s="494"/>
      <c r="F454" s="494"/>
      <c r="G454" s="494"/>
      <c r="H454" s="494"/>
      <c r="I454" s="494"/>
      <c r="J454" s="495" t="s">
        <v>715</v>
      </c>
      <c r="K454" s="496">
        <v>12100</v>
      </c>
      <c r="L454" s="496">
        <v>6086</v>
      </c>
      <c r="M454" s="496">
        <v>2000</v>
      </c>
      <c r="N454" s="496"/>
      <c r="O454" s="496"/>
      <c r="P454" s="496"/>
      <c r="Q454" s="496">
        <f t="shared" ref="Q454:R454" si="508">M454+X454</f>
        <v>4000</v>
      </c>
      <c r="R454" s="496">
        <f t="shared" si="508"/>
        <v>2000</v>
      </c>
      <c r="S454" s="496">
        <v>6086</v>
      </c>
      <c r="T454" s="496">
        <v>6086</v>
      </c>
      <c r="U454" s="496"/>
      <c r="V454" s="496"/>
      <c r="W454" s="496">
        <v>4000</v>
      </c>
      <c r="X454" s="496">
        <v>2000</v>
      </c>
      <c r="Y454" s="496">
        <v>2000</v>
      </c>
      <c r="Z454" s="496"/>
      <c r="AA454" s="496"/>
      <c r="AB454" s="496">
        <v>2000</v>
      </c>
      <c r="AC454" s="496">
        <v>2000</v>
      </c>
      <c r="AD454" s="496"/>
      <c r="AE454" s="496"/>
      <c r="AF454" s="496"/>
      <c r="AG454" s="496"/>
      <c r="AH454" s="496">
        <f t="shared" si="491"/>
        <v>4000</v>
      </c>
      <c r="AI454" s="496">
        <f t="shared" si="492"/>
        <v>4000</v>
      </c>
      <c r="AJ454" s="496"/>
      <c r="AK454" s="496"/>
      <c r="AL454" s="496">
        <f t="shared" si="496"/>
        <v>1099</v>
      </c>
      <c r="AM454" s="496">
        <f t="shared" si="497"/>
        <v>1099</v>
      </c>
      <c r="AN454" s="482">
        <f t="shared" si="498"/>
        <v>0</v>
      </c>
      <c r="AO454" s="482">
        <f t="shared" si="499"/>
        <v>0</v>
      </c>
      <c r="AP454" s="496">
        <f t="shared" ref="AP454" si="509">AQ454</f>
        <v>1099</v>
      </c>
      <c r="AQ454" s="496">
        <v>1099</v>
      </c>
      <c r="AR454" s="737"/>
      <c r="AS454" s="496"/>
      <c r="AT454" s="517"/>
      <c r="AU454" s="484">
        <f t="shared" si="501"/>
        <v>0</v>
      </c>
      <c r="AV454" s="484">
        <f t="shared" si="504"/>
        <v>0</v>
      </c>
      <c r="AW454" s="517">
        <f t="shared" ref="AW454:AW458" si="510">AC454</f>
        <v>2000</v>
      </c>
      <c r="AX454" s="548">
        <f>S454</f>
        <v>6086</v>
      </c>
      <c r="BD454" s="82">
        <v>1</v>
      </c>
      <c r="BE454" s="82">
        <v>1</v>
      </c>
      <c r="BF454" s="82">
        <f>AQ454</f>
        <v>1099</v>
      </c>
      <c r="BG454" s="488">
        <f t="shared" si="502"/>
        <v>0</v>
      </c>
    </row>
    <row r="455" spans="1:59" s="81" customFormat="1" ht="59.25" customHeight="1">
      <c r="A455" s="716" t="s">
        <v>702</v>
      </c>
      <c r="B455" s="555" t="s">
        <v>716</v>
      </c>
      <c r="C455" s="480"/>
      <c r="D455" s="480"/>
      <c r="E455" s="480"/>
      <c r="F455" s="480"/>
      <c r="G455" s="480"/>
      <c r="H455" s="480"/>
      <c r="I455" s="480"/>
      <c r="J455" s="481"/>
      <c r="K455" s="482">
        <f>K456</f>
        <v>14950</v>
      </c>
      <c r="L455" s="482">
        <f t="shared" ref="L455:AS457" si="511">L456</f>
        <v>4307.2000000000007</v>
      </c>
      <c r="M455" s="482">
        <f t="shared" si="511"/>
        <v>1500</v>
      </c>
      <c r="N455" s="482">
        <f t="shared" si="511"/>
        <v>0</v>
      </c>
      <c r="O455" s="482">
        <f t="shared" si="511"/>
        <v>0</v>
      </c>
      <c r="P455" s="482">
        <f t="shared" si="511"/>
        <v>0</v>
      </c>
      <c r="Q455" s="482">
        <f t="shared" si="511"/>
        <v>3000</v>
      </c>
      <c r="R455" s="482">
        <f t="shared" si="511"/>
        <v>1500</v>
      </c>
      <c r="S455" s="482">
        <f t="shared" si="511"/>
        <v>4307.2000000000007</v>
      </c>
      <c r="T455" s="482">
        <f t="shared" si="511"/>
        <v>4307.2000000000007</v>
      </c>
      <c r="U455" s="482">
        <f t="shared" si="511"/>
        <v>0</v>
      </c>
      <c r="V455" s="482">
        <f t="shared" si="511"/>
        <v>0</v>
      </c>
      <c r="W455" s="482">
        <f t="shared" si="511"/>
        <v>2900</v>
      </c>
      <c r="X455" s="482">
        <f t="shared" si="511"/>
        <v>1500</v>
      </c>
      <c r="Y455" s="482">
        <f t="shared" si="511"/>
        <v>1500</v>
      </c>
      <c r="Z455" s="482">
        <f t="shared" si="511"/>
        <v>0</v>
      </c>
      <c r="AA455" s="482">
        <f t="shared" si="511"/>
        <v>0</v>
      </c>
      <c r="AB455" s="482">
        <f t="shared" si="511"/>
        <v>1400</v>
      </c>
      <c r="AC455" s="482">
        <f t="shared" si="511"/>
        <v>1400</v>
      </c>
      <c r="AD455" s="482">
        <f t="shared" si="511"/>
        <v>0</v>
      </c>
      <c r="AE455" s="482">
        <f t="shared" si="511"/>
        <v>0</v>
      </c>
      <c r="AF455" s="482">
        <f t="shared" si="511"/>
        <v>1395.94991</v>
      </c>
      <c r="AG455" s="482">
        <f t="shared" si="511"/>
        <v>1395.94991</v>
      </c>
      <c r="AH455" s="482">
        <f t="shared" si="511"/>
        <v>2900</v>
      </c>
      <c r="AI455" s="482">
        <f t="shared" si="511"/>
        <v>2900</v>
      </c>
      <c r="AJ455" s="482"/>
      <c r="AK455" s="482"/>
      <c r="AL455" s="482">
        <f t="shared" si="511"/>
        <v>567</v>
      </c>
      <c r="AM455" s="482">
        <f t="shared" si="511"/>
        <v>567</v>
      </c>
      <c r="AN455" s="482">
        <f t="shared" si="511"/>
        <v>0</v>
      </c>
      <c r="AO455" s="482">
        <f t="shared" si="511"/>
        <v>0</v>
      </c>
      <c r="AP455" s="482">
        <f t="shared" si="511"/>
        <v>567</v>
      </c>
      <c r="AQ455" s="482">
        <f t="shared" si="511"/>
        <v>567</v>
      </c>
      <c r="AR455" s="482">
        <f t="shared" si="511"/>
        <v>0</v>
      </c>
      <c r="AS455" s="482">
        <f t="shared" si="511"/>
        <v>0</v>
      </c>
      <c r="AT455" s="716"/>
      <c r="AU455" s="484">
        <f t="shared" si="501"/>
        <v>0</v>
      </c>
      <c r="AV455" s="484">
        <f t="shared" si="504"/>
        <v>0</v>
      </c>
      <c r="AW455" s="517"/>
      <c r="AX455" s="548"/>
      <c r="BG455" s="488">
        <f t="shared" si="502"/>
        <v>0</v>
      </c>
    </row>
    <row r="456" spans="1:59" s="81" customFormat="1" ht="59.25" customHeight="1">
      <c r="A456" s="478" t="s">
        <v>33</v>
      </c>
      <c r="B456" s="539" t="s">
        <v>286</v>
      </c>
      <c r="C456" s="480"/>
      <c r="D456" s="480"/>
      <c r="E456" s="480"/>
      <c r="F456" s="480"/>
      <c r="G456" s="480"/>
      <c r="H456" s="480"/>
      <c r="I456" s="480"/>
      <c r="J456" s="481"/>
      <c r="K456" s="482">
        <f>K457</f>
        <v>14950</v>
      </c>
      <c r="L456" s="482">
        <f t="shared" si="511"/>
        <v>4307.2000000000007</v>
      </c>
      <c r="M456" s="482">
        <f t="shared" si="511"/>
        <v>1500</v>
      </c>
      <c r="N456" s="482">
        <f t="shared" si="511"/>
        <v>0</v>
      </c>
      <c r="O456" s="482">
        <f t="shared" si="511"/>
        <v>0</v>
      </c>
      <c r="P456" s="482">
        <f t="shared" si="511"/>
        <v>0</v>
      </c>
      <c r="Q456" s="482">
        <f t="shared" si="511"/>
        <v>3000</v>
      </c>
      <c r="R456" s="482">
        <f t="shared" si="511"/>
        <v>1500</v>
      </c>
      <c r="S456" s="482">
        <f t="shared" si="511"/>
        <v>4307.2000000000007</v>
      </c>
      <c r="T456" s="482">
        <f t="shared" si="511"/>
        <v>4307.2000000000007</v>
      </c>
      <c r="U456" s="482">
        <f t="shared" si="511"/>
        <v>0</v>
      </c>
      <c r="V456" s="482">
        <f t="shared" si="511"/>
        <v>0</v>
      </c>
      <c r="W456" s="482">
        <f t="shared" si="511"/>
        <v>2900</v>
      </c>
      <c r="X456" s="482">
        <f t="shared" si="511"/>
        <v>1500</v>
      </c>
      <c r="Y456" s="482">
        <f t="shared" si="511"/>
        <v>1500</v>
      </c>
      <c r="Z456" s="482">
        <f t="shared" si="511"/>
        <v>0</v>
      </c>
      <c r="AA456" s="482">
        <f t="shared" si="511"/>
        <v>0</v>
      </c>
      <c r="AB456" s="482">
        <f t="shared" si="511"/>
        <v>1400</v>
      </c>
      <c r="AC456" s="482">
        <f t="shared" si="511"/>
        <v>1400</v>
      </c>
      <c r="AD456" s="482">
        <f t="shared" si="511"/>
        <v>0</v>
      </c>
      <c r="AE456" s="482">
        <f t="shared" si="511"/>
        <v>0</v>
      </c>
      <c r="AF456" s="482">
        <f t="shared" si="511"/>
        <v>1395.94991</v>
      </c>
      <c r="AG456" s="482">
        <f t="shared" si="511"/>
        <v>1395.94991</v>
      </c>
      <c r="AH456" s="482">
        <f t="shared" si="511"/>
        <v>2900</v>
      </c>
      <c r="AI456" s="482">
        <f t="shared" si="511"/>
        <v>2900</v>
      </c>
      <c r="AJ456" s="482"/>
      <c r="AK456" s="482"/>
      <c r="AL456" s="482">
        <f t="shared" si="511"/>
        <v>567</v>
      </c>
      <c r="AM456" s="482">
        <f t="shared" si="511"/>
        <v>567</v>
      </c>
      <c r="AN456" s="482">
        <f t="shared" si="511"/>
        <v>0</v>
      </c>
      <c r="AO456" s="482">
        <f t="shared" si="511"/>
        <v>0</v>
      </c>
      <c r="AP456" s="482">
        <f t="shared" si="511"/>
        <v>567</v>
      </c>
      <c r="AQ456" s="482">
        <f t="shared" si="511"/>
        <v>567</v>
      </c>
      <c r="AR456" s="482">
        <f t="shared" si="511"/>
        <v>0</v>
      </c>
      <c r="AS456" s="482">
        <f t="shared" si="511"/>
        <v>0</v>
      </c>
      <c r="AT456" s="716"/>
      <c r="AU456" s="484">
        <f t="shared" si="501"/>
        <v>0</v>
      </c>
      <c r="AV456" s="484"/>
      <c r="AW456" s="517"/>
      <c r="AX456" s="548"/>
      <c r="BG456" s="488">
        <f t="shared" si="502"/>
        <v>0</v>
      </c>
    </row>
    <row r="457" spans="1:59" s="81" customFormat="1" ht="59.25" customHeight="1">
      <c r="A457" s="556" t="s">
        <v>35</v>
      </c>
      <c r="B457" s="557" t="s">
        <v>45</v>
      </c>
      <c r="C457" s="480"/>
      <c r="D457" s="480"/>
      <c r="E457" s="480"/>
      <c r="F457" s="480"/>
      <c r="G457" s="480"/>
      <c r="H457" s="480"/>
      <c r="I457" s="480"/>
      <c r="J457" s="481"/>
      <c r="K457" s="482">
        <f>K458</f>
        <v>14950</v>
      </c>
      <c r="L457" s="482">
        <f t="shared" si="511"/>
        <v>4307.2000000000007</v>
      </c>
      <c r="M457" s="482">
        <f t="shared" si="511"/>
        <v>1500</v>
      </c>
      <c r="N457" s="482">
        <f t="shared" si="511"/>
        <v>0</v>
      </c>
      <c r="O457" s="482">
        <f t="shared" si="511"/>
        <v>0</v>
      </c>
      <c r="P457" s="482">
        <f t="shared" si="511"/>
        <v>0</v>
      </c>
      <c r="Q457" s="482">
        <f t="shared" si="511"/>
        <v>3000</v>
      </c>
      <c r="R457" s="482">
        <f t="shared" si="511"/>
        <v>1500</v>
      </c>
      <c r="S457" s="482">
        <f t="shared" si="511"/>
        <v>4307.2000000000007</v>
      </c>
      <c r="T457" s="482">
        <f t="shared" si="511"/>
        <v>4307.2000000000007</v>
      </c>
      <c r="U457" s="482">
        <f t="shared" si="511"/>
        <v>0</v>
      </c>
      <c r="V457" s="482">
        <f t="shared" si="511"/>
        <v>0</v>
      </c>
      <c r="W457" s="482">
        <f t="shared" si="511"/>
        <v>2900</v>
      </c>
      <c r="X457" s="482">
        <f t="shared" si="511"/>
        <v>1500</v>
      </c>
      <c r="Y457" s="482">
        <f t="shared" si="511"/>
        <v>1500</v>
      </c>
      <c r="Z457" s="482">
        <f t="shared" si="511"/>
        <v>0</v>
      </c>
      <c r="AA457" s="482">
        <f t="shared" si="511"/>
        <v>0</v>
      </c>
      <c r="AB457" s="482">
        <f t="shared" si="511"/>
        <v>1400</v>
      </c>
      <c r="AC457" s="482">
        <f t="shared" si="511"/>
        <v>1400</v>
      </c>
      <c r="AD457" s="482">
        <f t="shared" si="511"/>
        <v>0</v>
      </c>
      <c r="AE457" s="482">
        <f t="shared" si="511"/>
        <v>0</v>
      </c>
      <c r="AF457" s="482">
        <f t="shared" si="511"/>
        <v>1395.94991</v>
      </c>
      <c r="AG457" s="482">
        <f t="shared" si="511"/>
        <v>1395.94991</v>
      </c>
      <c r="AH457" s="482">
        <f t="shared" si="511"/>
        <v>2900</v>
      </c>
      <c r="AI457" s="482">
        <f t="shared" si="511"/>
        <v>2900</v>
      </c>
      <c r="AJ457" s="482"/>
      <c r="AK457" s="482"/>
      <c r="AL457" s="482">
        <f t="shared" si="511"/>
        <v>567</v>
      </c>
      <c r="AM457" s="482">
        <f t="shared" si="511"/>
        <v>567</v>
      </c>
      <c r="AN457" s="482">
        <f t="shared" si="511"/>
        <v>0</v>
      </c>
      <c r="AO457" s="482">
        <f t="shared" si="511"/>
        <v>0</v>
      </c>
      <c r="AP457" s="482">
        <f t="shared" si="511"/>
        <v>567</v>
      </c>
      <c r="AQ457" s="482">
        <f t="shared" si="511"/>
        <v>567</v>
      </c>
      <c r="AR457" s="482">
        <f t="shared" si="511"/>
        <v>0</v>
      </c>
      <c r="AS457" s="482">
        <f t="shared" si="511"/>
        <v>0</v>
      </c>
      <c r="AT457" s="716"/>
      <c r="AU457" s="484">
        <f t="shared" si="501"/>
        <v>0</v>
      </c>
      <c r="AV457" s="484"/>
      <c r="AW457" s="517"/>
      <c r="AX457" s="548"/>
      <c r="BG457" s="488">
        <f t="shared" si="502"/>
        <v>0</v>
      </c>
    </row>
    <row r="458" spans="1:59" s="82" customFormat="1" ht="73.5" customHeight="1">
      <c r="A458" s="578">
        <v>1</v>
      </c>
      <c r="B458" s="738" t="s">
        <v>717</v>
      </c>
      <c r="C458" s="494" t="s">
        <v>487</v>
      </c>
      <c r="D458" s="494"/>
      <c r="E458" s="494" t="s">
        <v>1022</v>
      </c>
      <c r="F458" s="494"/>
      <c r="G458" s="494"/>
      <c r="H458" s="494"/>
      <c r="I458" s="494"/>
      <c r="J458" s="495" t="s">
        <v>718</v>
      </c>
      <c r="K458" s="496">
        <v>14950</v>
      </c>
      <c r="L458" s="496">
        <v>4307.2000000000007</v>
      </c>
      <c r="M458" s="496">
        <v>1500</v>
      </c>
      <c r="N458" s="496"/>
      <c r="O458" s="496"/>
      <c r="P458" s="496"/>
      <c r="Q458" s="496">
        <f t="shared" ref="Q458:R460" si="512">M458+X458</f>
        <v>3000</v>
      </c>
      <c r="R458" s="496">
        <f t="shared" si="512"/>
        <v>1500</v>
      </c>
      <c r="S458" s="496">
        <v>4307.2000000000007</v>
      </c>
      <c r="T458" s="496">
        <v>4307.2000000000007</v>
      </c>
      <c r="U458" s="496"/>
      <c r="V458" s="496"/>
      <c r="W458" s="496">
        <v>2900</v>
      </c>
      <c r="X458" s="496">
        <v>1500</v>
      </c>
      <c r="Y458" s="496">
        <v>1500</v>
      </c>
      <c r="Z458" s="496"/>
      <c r="AA458" s="496"/>
      <c r="AB458" s="496">
        <v>1400</v>
      </c>
      <c r="AC458" s="496">
        <v>1400</v>
      </c>
      <c r="AD458" s="496"/>
      <c r="AE458" s="496"/>
      <c r="AF458" s="520">
        <v>1395.94991</v>
      </c>
      <c r="AG458" s="520">
        <v>1395.94991</v>
      </c>
      <c r="AH458" s="496">
        <f t="shared" ref="AH458:AH518" si="513">X458+AB458</f>
        <v>2900</v>
      </c>
      <c r="AI458" s="496">
        <f t="shared" ref="AI458:AI518" si="514">Y458+AC458</f>
        <v>2900</v>
      </c>
      <c r="AJ458" s="496"/>
      <c r="AK458" s="496"/>
      <c r="AL458" s="496">
        <f t="shared" si="496"/>
        <v>567</v>
      </c>
      <c r="AM458" s="496">
        <f t="shared" si="496"/>
        <v>567</v>
      </c>
      <c r="AN458" s="496">
        <f t="shared" si="498"/>
        <v>0</v>
      </c>
      <c r="AO458" s="496">
        <f t="shared" si="499"/>
        <v>0</v>
      </c>
      <c r="AP458" s="496">
        <f>AQ458</f>
        <v>567</v>
      </c>
      <c r="AQ458" s="496">
        <v>567</v>
      </c>
      <c r="AR458" s="520"/>
      <c r="AS458" s="496"/>
      <c r="AT458" s="517"/>
      <c r="AU458" s="484">
        <f t="shared" si="501"/>
        <v>0</v>
      </c>
      <c r="AV458" s="484">
        <f t="shared" si="504"/>
        <v>0</v>
      </c>
      <c r="AW458" s="517">
        <f t="shared" si="510"/>
        <v>1400</v>
      </c>
      <c r="AX458" s="548">
        <f>S458</f>
        <v>4307.2000000000007</v>
      </c>
      <c r="BD458" s="82">
        <v>1</v>
      </c>
      <c r="BE458" s="82">
        <v>1</v>
      </c>
      <c r="BF458" s="82">
        <f>AQ458</f>
        <v>567</v>
      </c>
      <c r="BG458" s="488">
        <f t="shared" si="502"/>
        <v>0</v>
      </c>
    </row>
    <row r="459" spans="1:59" s="81" customFormat="1" ht="87.75" customHeight="1">
      <c r="A459" s="580" t="s">
        <v>703</v>
      </c>
      <c r="B459" s="728" t="s">
        <v>778</v>
      </c>
      <c r="C459" s="480"/>
      <c r="D459" s="480"/>
      <c r="E459" s="480"/>
      <c r="F459" s="480"/>
      <c r="G459" s="480"/>
      <c r="H459" s="480"/>
      <c r="I459" s="480"/>
      <c r="J459" s="495" t="s">
        <v>719</v>
      </c>
      <c r="K459" s="482">
        <f>K460+K461</f>
        <v>174699.94838799999</v>
      </c>
      <c r="L459" s="482">
        <f t="shared" ref="L459:AS459" si="515">L460+L461</f>
        <v>37533.072349000002</v>
      </c>
      <c r="M459" s="482">
        <f t="shared" si="515"/>
        <v>0</v>
      </c>
      <c r="N459" s="482">
        <f t="shared" si="515"/>
        <v>0</v>
      </c>
      <c r="O459" s="482">
        <f t="shared" si="515"/>
        <v>0</v>
      </c>
      <c r="P459" s="482">
        <f t="shared" si="515"/>
        <v>0</v>
      </c>
      <c r="Q459" s="482">
        <f t="shared" si="515"/>
        <v>0</v>
      </c>
      <c r="R459" s="482">
        <f t="shared" si="515"/>
        <v>0</v>
      </c>
      <c r="S459" s="482">
        <f t="shared" si="515"/>
        <v>174699.94838799999</v>
      </c>
      <c r="T459" s="482">
        <f t="shared" si="515"/>
        <v>33365.472349000003</v>
      </c>
      <c r="U459" s="482">
        <f t="shared" si="515"/>
        <v>0</v>
      </c>
      <c r="V459" s="482">
        <f t="shared" si="515"/>
        <v>0</v>
      </c>
      <c r="W459" s="482">
        <f t="shared" si="515"/>
        <v>603</v>
      </c>
      <c r="X459" s="482">
        <f t="shared" si="515"/>
        <v>0</v>
      </c>
      <c r="Y459" s="482">
        <f t="shared" si="515"/>
        <v>0</v>
      </c>
      <c r="Z459" s="482">
        <f t="shared" si="515"/>
        <v>0</v>
      </c>
      <c r="AA459" s="482">
        <f t="shared" si="515"/>
        <v>0</v>
      </c>
      <c r="AB459" s="482">
        <f>AC459</f>
        <v>2000</v>
      </c>
      <c r="AC459" s="482">
        <v>2000</v>
      </c>
      <c r="AD459" s="482">
        <f t="shared" si="515"/>
        <v>0</v>
      </c>
      <c r="AE459" s="482">
        <f t="shared" si="515"/>
        <v>0</v>
      </c>
      <c r="AF459" s="482">
        <f t="shared" si="515"/>
        <v>603</v>
      </c>
      <c r="AG459" s="482">
        <f t="shared" si="515"/>
        <v>603</v>
      </c>
      <c r="AH459" s="482">
        <f t="shared" si="515"/>
        <v>885</v>
      </c>
      <c r="AI459" s="482">
        <f t="shared" si="515"/>
        <v>885</v>
      </c>
      <c r="AJ459" s="482">
        <f t="shared" si="515"/>
        <v>0</v>
      </c>
      <c r="AK459" s="482">
        <f t="shared" si="515"/>
        <v>0</v>
      </c>
      <c r="AL459" s="482">
        <f t="shared" si="515"/>
        <v>480</v>
      </c>
      <c r="AM459" s="482">
        <f t="shared" si="515"/>
        <v>480</v>
      </c>
      <c r="AN459" s="482">
        <f t="shared" si="515"/>
        <v>0</v>
      </c>
      <c r="AO459" s="482">
        <f t="shared" si="515"/>
        <v>0</v>
      </c>
      <c r="AP459" s="482">
        <f t="shared" si="515"/>
        <v>8480</v>
      </c>
      <c r="AQ459" s="482">
        <f t="shared" si="515"/>
        <v>8480</v>
      </c>
      <c r="AR459" s="482">
        <f t="shared" si="515"/>
        <v>0</v>
      </c>
      <c r="AS459" s="482">
        <f t="shared" si="515"/>
        <v>0</v>
      </c>
      <c r="AT459" s="716"/>
      <c r="AU459" s="484">
        <f t="shared" si="501"/>
        <v>0</v>
      </c>
      <c r="AV459" s="489">
        <f t="shared" si="504"/>
        <v>0</v>
      </c>
      <c r="AW459" s="716"/>
      <c r="AX459" s="537"/>
      <c r="BG459" s="488">
        <f t="shared" si="502"/>
        <v>-8000</v>
      </c>
    </row>
    <row r="460" spans="1:59" s="82" customFormat="1" ht="91.5" customHeight="1">
      <c r="A460" s="578">
        <v>1</v>
      </c>
      <c r="B460" s="738" t="s">
        <v>779</v>
      </c>
      <c r="C460" s="494" t="s">
        <v>361</v>
      </c>
      <c r="D460" s="494"/>
      <c r="E460" s="494"/>
      <c r="F460" s="494"/>
      <c r="G460" s="494"/>
      <c r="H460" s="494"/>
      <c r="I460" s="494"/>
      <c r="J460" s="495" t="s">
        <v>720</v>
      </c>
      <c r="K460" s="496">
        <v>7344.1483879999996</v>
      </c>
      <c r="L460" s="496">
        <v>1365.4723489999999</v>
      </c>
      <c r="M460" s="496"/>
      <c r="N460" s="496"/>
      <c r="O460" s="496"/>
      <c r="P460" s="496"/>
      <c r="Q460" s="496">
        <f t="shared" si="512"/>
        <v>0</v>
      </c>
      <c r="R460" s="496">
        <f t="shared" si="512"/>
        <v>0</v>
      </c>
      <c r="S460" s="496">
        <v>7344.1483879999996</v>
      </c>
      <c r="T460" s="496">
        <v>1365.4723489999999</v>
      </c>
      <c r="U460" s="496"/>
      <c r="V460" s="496"/>
      <c r="W460" s="496">
        <v>603</v>
      </c>
      <c r="X460" s="496"/>
      <c r="Y460" s="496"/>
      <c r="Z460" s="496"/>
      <c r="AA460" s="496"/>
      <c r="AB460" s="496">
        <f>AC460</f>
        <v>885</v>
      </c>
      <c r="AC460" s="496">
        <v>885</v>
      </c>
      <c r="AD460" s="496"/>
      <c r="AE460" s="496"/>
      <c r="AF460" s="520">
        <f>AG460</f>
        <v>603</v>
      </c>
      <c r="AG460" s="520">
        <v>603</v>
      </c>
      <c r="AH460" s="496">
        <f t="shared" si="513"/>
        <v>885</v>
      </c>
      <c r="AI460" s="496">
        <f t="shared" si="514"/>
        <v>885</v>
      </c>
      <c r="AJ460" s="496"/>
      <c r="AK460" s="496"/>
      <c r="AL460" s="496">
        <f t="shared" si="496"/>
        <v>480</v>
      </c>
      <c r="AM460" s="496">
        <f t="shared" si="497"/>
        <v>480</v>
      </c>
      <c r="AN460" s="496">
        <f t="shared" si="498"/>
        <v>0</v>
      </c>
      <c r="AO460" s="496">
        <f t="shared" si="499"/>
        <v>0</v>
      </c>
      <c r="AP460" s="496">
        <f>AQ460</f>
        <v>480</v>
      </c>
      <c r="AQ460" s="496">
        <v>480</v>
      </c>
      <c r="AR460" s="496">
        <v>0</v>
      </c>
      <c r="AS460" s="496">
        <v>0</v>
      </c>
      <c r="AT460" s="517"/>
      <c r="AU460" s="484">
        <f t="shared" si="501"/>
        <v>0</v>
      </c>
      <c r="AV460" s="484">
        <f t="shared" si="504"/>
        <v>0</v>
      </c>
      <c r="AW460" s="517"/>
      <c r="AX460" s="548"/>
      <c r="BG460" s="488">
        <f t="shared" si="502"/>
        <v>0</v>
      </c>
    </row>
    <row r="461" spans="1:59" s="82" customFormat="1" ht="67.5" customHeight="1">
      <c r="A461" s="578">
        <v>2</v>
      </c>
      <c r="B461" s="738" t="s">
        <v>970</v>
      </c>
      <c r="C461" s="494"/>
      <c r="D461" s="494"/>
      <c r="E461" s="494" t="s">
        <v>1023</v>
      </c>
      <c r="F461" s="494"/>
      <c r="G461" s="494"/>
      <c r="H461" s="494"/>
      <c r="I461" s="494" t="s">
        <v>811</v>
      </c>
      <c r="J461" s="495" t="s">
        <v>971</v>
      </c>
      <c r="K461" s="496">
        <v>167355.79999999999</v>
      </c>
      <c r="L461" s="496">
        <v>36167.599999999999</v>
      </c>
      <c r="M461" s="496"/>
      <c r="N461" s="496"/>
      <c r="O461" s="496"/>
      <c r="P461" s="496"/>
      <c r="Q461" s="496"/>
      <c r="R461" s="496"/>
      <c r="S461" s="496">
        <f>K461</f>
        <v>167355.79999999999</v>
      </c>
      <c r="T461" s="496">
        <f>20000+12000</f>
        <v>32000</v>
      </c>
      <c r="U461" s="496"/>
      <c r="V461" s="496"/>
      <c r="W461" s="496"/>
      <c r="X461" s="496"/>
      <c r="Y461" s="496"/>
      <c r="Z461" s="496"/>
      <c r="AA461" s="496"/>
      <c r="AB461" s="496"/>
      <c r="AC461" s="496"/>
      <c r="AD461" s="496"/>
      <c r="AE461" s="496"/>
      <c r="AF461" s="520"/>
      <c r="AG461" s="520"/>
      <c r="AH461" s="496"/>
      <c r="AI461" s="496"/>
      <c r="AJ461" s="496"/>
      <c r="AK461" s="496"/>
      <c r="AL461" s="496"/>
      <c r="AM461" s="496"/>
      <c r="AN461" s="496"/>
      <c r="AO461" s="496"/>
      <c r="AP461" s="496">
        <f>AQ461</f>
        <v>8000</v>
      </c>
      <c r="AQ461" s="496">
        <v>8000</v>
      </c>
      <c r="AR461" s="496"/>
      <c r="AS461" s="496"/>
      <c r="AT461" s="517"/>
      <c r="AU461" s="484"/>
      <c r="AV461" s="484"/>
      <c r="AW461" s="517"/>
      <c r="AX461" s="548"/>
      <c r="BG461" s="488"/>
    </row>
    <row r="462" spans="1:59" s="82" customFormat="1" ht="59.25" hidden="1" customHeight="1">
      <c r="A462" s="578"/>
      <c r="B462" s="738"/>
      <c r="C462" s="494"/>
      <c r="D462" s="494"/>
      <c r="E462" s="494"/>
      <c r="F462" s="494"/>
      <c r="G462" s="494"/>
      <c r="H462" s="494"/>
      <c r="I462" s="494"/>
      <c r="J462" s="495"/>
      <c r="K462" s="496"/>
      <c r="L462" s="496"/>
      <c r="M462" s="496"/>
      <c r="N462" s="496"/>
      <c r="O462" s="496"/>
      <c r="P462" s="496"/>
      <c r="Q462" s="496"/>
      <c r="R462" s="496"/>
      <c r="S462" s="496"/>
      <c r="T462" s="496"/>
      <c r="U462" s="496"/>
      <c r="V462" s="496"/>
      <c r="W462" s="496"/>
      <c r="X462" s="496"/>
      <c r="Y462" s="496"/>
      <c r="Z462" s="496"/>
      <c r="AA462" s="496"/>
      <c r="AB462" s="496"/>
      <c r="AC462" s="496"/>
      <c r="AD462" s="496"/>
      <c r="AE462" s="496"/>
      <c r="AF462" s="520"/>
      <c r="AG462" s="520"/>
      <c r="AH462" s="496"/>
      <c r="AI462" s="496"/>
      <c r="AJ462" s="496"/>
      <c r="AK462" s="496"/>
      <c r="AL462" s="496"/>
      <c r="AM462" s="496"/>
      <c r="AN462" s="496"/>
      <c r="AO462" s="496"/>
      <c r="AP462" s="496"/>
      <c r="AQ462" s="482">
        <v>55000</v>
      </c>
      <c r="AR462" s="496"/>
      <c r="AS462" s="496"/>
      <c r="AT462" s="517"/>
      <c r="AU462" s="484"/>
      <c r="AV462" s="484"/>
      <c r="AW462" s="517"/>
      <c r="AX462" s="548"/>
      <c r="BG462" s="488"/>
    </row>
    <row r="463" spans="1:59" s="81" customFormat="1" ht="59.25" customHeight="1">
      <c r="A463" s="576" t="s">
        <v>721</v>
      </c>
      <c r="B463" s="739" t="s">
        <v>330</v>
      </c>
      <c r="C463" s="480"/>
      <c r="D463" s="480"/>
      <c r="E463" s="480"/>
      <c r="F463" s="480"/>
      <c r="G463" s="480"/>
      <c r="H463" s="480"/>
      <c r="I463" s="480"/>
      <c r="J463" s="481"/>
      <c r="K463" s="519">
        <f>K464+K477+K478+K479</f>
        <v>1110632</v>
      </c>
      <c r="L463" s="519">
        <f t="shared" ref="L463:AS463" si="516">L464+L477+L478+L479</f>
        <v>245000</v>
      </c>
      <c r="M463" s="519">
        <f t="shared" si="516"/>
        <v>217569</v>
      </c>
      <c r="N463" s="519">
        <f t="shared" si="516"/>
        <v>0</v>
      </c>
      <c r="O463" s="519">
        <f t="shared" si="516"/>
        <v>0</v>
      </c>
      <c r="P463" s="519">
        <f t="shared" si="516"/>
        <v>0</v>
      </c>
      <c r="Q463" s="519">
        <f t="shared" si="516"/>
        <v>217569</v>
      </c>
      <c r="R463" s="519">
        <f t="shared" si="516"/>
        <v>0</v>
      </c>
      <c r="S463" s="519">
        <f t="shared" si="516"/>
        <v>198000</v>
      </c>
      <c r="T463" s="519">
        <f t="shared" si="516"/>
        <v>198000</v>
      </c>
      <c r="U463" s="519">
        <f t="shared" si="516"/>
        <v>0</v>
      </c>
      <c r="V463" s="519">
        <f t="shared" si="516"/>
        <v>0</v>
      </c>
      <c r="W463" s="519">
        <f t="shared" si="516"/>
        <v>726027</v>
      </c>
      <c r="X463" s="519">
        <f t="shared" si="516"/>
        <v>0</v>
      </c>
      <c r="Y463" s="519">
        <f t="shared" si="516"/>
        <v>0</v>
      </c>
      <c r="Z463" s="519">
        <f t="shared" si="516"/>
        <v>0</v>
      </c>
      <c r="AA463" s="519">
        <f t="shared" si="516"/>
        <v>0</v>
      </c>
      <c r="AB463" s="519">
        <f t="shared" si="516"/>
        <v>15000</v>
      </c>
      <c r="AC463" s="519">
        <f t="shared" si="516"/>
        <v>15000</v>
      </c>
      <c r="AD463" s="519">
        <f t="shared" si="516"/>
        <v>0</v>
      </c>
      <c r="AE463" s="519">
        <f t="shared" si="516"/>
        <v>0</v>
      </c>
      <c r="AF463" s="519">
        <f t="shared" si="516"/>
        <v>5011.5330000000004</v>
      </c>
      <c r="AG463" s="519">
        <f t="shared" si="516"/>
        <v>11500</v>
      </c>
      <c r="AH463" s="519">
        <f t="shared" si="516"/>
        <v>15000</v>
      </c>
      <c r="AI463" s="519">
        <f t="shared" si="516"/>
        <v>15000</v>
      </c>
      <c r="AJ463" s="519">
        <f t="shared" si="516"/>
        <v>0</v>
      </c>
      <c r="AK463" s="519">
        <f t="shared" si="516"/>
        <v>0</v>
      </c>
      <c r="AL463" s="519">
        <f t="shared" si="516"/>
        <v>99908</v>
      </c>
      <c r="AM463" s="519">
        <f t="shared" si="516"/>
        <v>99908</v>
      </c>
      <c r="AN463" s="519">
        <f t="shared" si="516"/>
        <v>0</v>
      </c>
      <c r="AO463" s="519">
        <f t="shared" si="516"/>
        <v>0</v>
      </c>
      <c r="AP463" s="519">
        <f t="shared" si="516"/>
        <v>55000</v>
      </c>
      <c r="AQ463" s="519">
        <f t="shared" si="516"/>
        <v>55000</v>
      </c>
      <c r="AR463" s="519">
        <f t="shared" si="516"/>
        <v>0</v>
      </c>
      <c r="AS463" s="519">
        <f t="shared" si="516"/>
        <v>0</v>
      </c>
      <c r="AT463" s="600"/>
      <c r="AU463" s="484">
        <f t="shared" si="501"/>
        <v>0</v>
      </c>
      <c r="AV463" s="484">
        <f t="shared" si="504"/>
        <v>0</v>
      </c>
      <c r="AW463" s="600"/>
      <c r="AX463" s="486"/>
      <c r="AY463" s="487"/>
      <c r="AZ463" s="487"/>
      <c r="BA463" s="487"/>
      <c r="BG463" s="488">
        <f t="shared" si="502"/>
        <v>44908</v>
      </c>
    </row>
    <row r="464" spans="1:59" s="82" customFormat="1" ht="87.75" customHeight="1">
      <c r="A464" s="582">
        <v>1</v>
      </c>
      <c r="B464" s="628" t="s">
        <v>466</v>
      </c>
      <c r="C464" s="629" t="s">
        <v>460</v>
      </c>
      <c r="D464" s="629"/>
      <c r="E464" s="629" t="s">
        <v>993</v>
      </c>
      <c r="F464" s="629"/>
      <c r="G464" s="629"/>
      <c r="H464" s="494" t="s">
        <v>467</v>
      </c>
      <c r="I464" s="494" t="s">
        <v>468</v>
      </c>
      <c r="J464" s="495" t="s">
        <v>469</v>
      </c>
      <c r="K464" s="496">
        <v>355300</v>
      </c>
      <c r="L464" s="496">
        <v>60000</v>
      </c>
      <c r="M464" s="496">
        <v>217569</v>
      </c>
      <c r="N464" s="496"/>
      <c r="O464" s="496"/>
      <c r="P464" s="496"/>
      <c r="Q464" s="496">
        <f>M464+X464</f>
        <v>217569</v>
      </c>
      <c r="R464" s="496">
        <f>N464+Y464</f>
        <v>0</v>
      </c>
      <c r="S464" s="496">
        <v>60000</v>
      </c>
      <c r="T464" s="496">
        <v>60000</v>
      </c>
      <c r="U464" s="496"/>
      <c r="V464" s="496"/>
      <c r="W464" s="496">
        <v>243127</v>
      </c>
      <c r="X464" s="496"/>
      <c r="Y464" s="496"/>
      <c r="Z464" s="496"/>
      <c r="AA464" s="496"/>
      <c r="AB464" s="496">
        <v>15000</v>
      </c>
      <c r="AC464" s="496">
        <f>AB464</f>
        <v>15000</v>
      </c>
      <c r="AD464" s="496"/>
      <c r="AE464" s="496"/>
      <c r="AF464" s="547">
        <v>5011.5330000000004</v>
      </c>
      <c r="AG464" s="547">
        <v>11500</v>
      </c>
      <c r="AH464" s="496">
        <f t="shared" si="513"/>
        <v>15000</v>
      </c>
      <c r="AI464" s="496">
        <f t="shared" si="514"/>
        <v>15000</v>
      </c>
      <c r="AJ464" s="496"/>
      <c r="AK464" s="496"/>
      <c r="AL464" s="496">
        <f t="shared" si="496"/>
        <v>15000</v>
      </c>
      <c r="AM464" s="496">
        <f t="shared" si="497"/>
        <v>15000</v>
      </c>
      <c r="AN464" s="496">
        <f t="shared" si="498"/>
        <v>0</v>
      </c>
      <c r="AO464" s="496">
        <f t="shared" si="499"/>
        <v>0</v>
      </c>
      <c r="AP464" s="496">
        <f>AQ464</f>
        <v>15000</v>
      </c>
      <c r="AQ464" s="496">
        <v>15000</v>
      </c>
      <c r="AR464" s="496"/>
      <c r="AS464" s="496"/>
      <c r="AT464" s="553" t="s">
        <v>793</v>
      </c>
      <c r="AU464" s="484">
        <f t="shared" si="501"/>
        <v>0</v>
      </c>
      <c r="AV464" s="484">
        <f t="shared" si="504"/>
        <v>0</v>
      </c>
      <c r="AW464" s="553"/>
      <c r="AX464" s="548"/>
      <c r="BG464" s="488">
        <f t="shared" si="502"/>
        <v>0</v>
      </c>
    </row>
    <row r="465" spans="1:59" s="82" customFormat="1" ht="59.25" hidden="1" customHeight="1">
      <c r="A465" s="553"/>
      <c r="B465" s="565"/>
      <c r="C465" s="545"/>
      <c r="D465" s="545"/>
      <c r="E465" s="545"/>
      <c r="F465" s="545"/>
      <c r="G465" s="545"/>
      <c r="H465" s="708"/>
      <c r="I465" s="494"/>
      <c r="J465" s="495"/>
      <c r="K465" s="496"/>
      <c r="L465" s="496"/>
      <c r="M465" s="496"/>
      <c r="N465" s="496"/>
      <c r="O465" s="496"/>
      <c r="P465" s="496"/>
      <c r="Q465" s="496"/>
      <c r="R465" s="496"/>
      <c r="S465" s="496"/>
      <c r="T465" s="496"/>
      <c r="U465" s="496"/>
      <c r="V465" s="496"/>
      <c r="W465" s="496"/>
      <c r="X465" s="496"/>
      <c r="Y465" s="496"/>
      <c r="Z465" s="496"/>
      <c r="AA465" s="496"/>
      <c r="AB465" s="496"/>
      <c r="AC465" s="496"/>
      <c r="AD465" s="496"/>
      <c r="AE465" s="496"/>
      <c r="AF465" s="496"/>
      <c r="AG465" s="496"/>
      <c r="AH465" s="482">
        <f t="shared" si="513"/>
        <v>0</v>
      </c>
      <c r="AI465" s="482">
        <f t="shared" si="514"/>
        <v>0</v>
      </c>
      <c r="AJ465" s="482"/>
      <c r="AK465" s="482"/>
      <c r="AL465" s="482">
        <f t="shared" si="496"/>
        <v>0</v>
      </c>
      <c r="AM465" s="482">
        <f t="shared" si="497"/>
        <v>0</v>
      </c>
      <c r="AN465" s="482">
        <f t="shared" si="498"/>
        <v>0</v>
      </c>
      <c r="AO465" s="482">
        <f t="shared" si="499"/>
        <v>0</v>
      </c>
      <c r="AP465" s="496"/>
      <c r="AQ465" s="496"/>
      <c r="AR465" s="496"/>
      <c r="AS465" s="496"/>
      <c r="AT465" s="494"/>
      <c r="AU465" s="484">
        <f t="shared" si="501"/>
        <v>0</v>
      </c>
      <c r="AV465" s="484">
        <f t="shared" si="504"/>
        <v>0</v>
      </c>
      <c r="AW465" s="494"/>
      <c r="AX465" s="548"/>
      <c r="BG465" s="488">
        <f t="shared" si="502"/>
        <v>0</v>
      </c>
    </row>
    <row r="466" spans="1:59" s="81" customFormat="1" ht="59.25" customHeight="1">
      <c r="A466" s="576" t="s">
        <v>722</v>
      </c>
      <c r="B466" s="514" t="s">
        <v>723</v>
      </c>
      <c r="C466" s="480"/>
      <c r="D466" s="480"/>
      <c r="E466" s="480"/>
      <c r="F466" s="480"/>
      <c r="G466" s="480"/>
      <c r="H466" s="480">
        <v>0</v>
      </c>
      <c r="I466" s="480"/>
      <c r="J466" s="481"/>
      <c r="K466" s="519"/>
      <c r="L466" s="519"/>
      <c r="M466" s="519"/>
      <c r="N466" s="519"/>
      <c r="O466" s="519"/>
      <c r="P466" s="519"/>
      <c r="Q466" s="496">
        <f t="shared" ref="Q466:Q475" si="517">M466+X466</f>
        <v>84594</v>
      </c>
      <c r="R466" s="496">
        <f t="shared" ref="R466:R475" si="518">N466+Y466</f>
        <v>84594</v>
      </c>
      <c r="S466" s="519">
        <v>363408</v>
      </c>
      <c r="T466" s="519">
        <v>363408</v>
      </c>
      <c r="U466" s="519">
        <v>0</v>
      </c>
      <c r="V466" s="519">
        <v>0</v>
      </c>
      <c r="W466" s="519"/>
      <c r="X466" s="519">
        <v>84594</v>
      </c>
      <c r="Y466" s="519">
        <v>84594</v>
      </c>
      <c r="Z466" s="519">
        <v>0</v>
      </c>
      <c r="AA466" s="519">
        <v>0</v>
      </c>
      <c r="AB466" s="519"/>
      <c r="AC466" s="519"/>
      <c r="AD466" s="519"/>
      <c r="AE466" s="519"/>
      <c r="AF466" s="519"/>
      <c r="AG466" s="519"/>
      <c r="AH466" s="482">
        <f t="shared" si="513"/>
        <v>84594</v>
      </c>
      <c r="AI466" s="482">
        <f t="shared" si="514"/>
        <v>84594</v>
      </c>
      <c r="AJ466" s="482"/>
      <c r="AK466" s="482"/>
      <c r="AL466" s="482">
        <f t="shared" si="496"/>
        <v>0</v>
      </c>
      <c r="AM466" s="482">
        <f t="shared" si="497"/>
        <v>0</v>
      </c>
      <c r="AN466" s="482">
        <f t="shared" si="498"/>
        <v>0</v>
      </c>
      <c r="AO466" s="482">
        <f t="shared" si="499"/>
        <v>0</v>
      </c>
      <c r="AP466" s="519"/>
      <c r="AQ466" s="519"/>
      <c r="AR466" s="519"/>
      <c r="AS466" s="519"/>
      <c r="AT466" s="623"/>
      <c r="AU466" s="484">
        <f t="shared" si="501"/>
        <v>0</v>
      </c>
      <c r="AV466" s="484">
        <f t="shared" si="504"/>
        <v>0</v>
      </c>
      <c r="AW466" s="521"/>
      <c r="AX466" s="486"/>
      <c r="AY466" s="740"/>
      <c r="AZ466" s="486"/>
      <c r="BA466" s="486"/>
      <c r="BG466" s="488">
        <f t="shared" si="502"/>
        <v>0</v>
      </c>
    </row>
    <row r="467" spans="1:59" s="81" customFormat="1" ht="59.25" customHeight="1">
      <c r="A467" s="517">
        <v>1</v>
      </c>
      <c r="B467" s="518" t="s">
        <v>724</v>
      </c>
      <c r="C467" s="480"/>
      <c r="D467" s="480"/>
      <c r="E467" s="480"/>
      <c r="F467" s="480"/>
      <c r="G467" s="480"/>
      <c r="H467" s="480"/>
      <c r="I467" s="480"/>
      <c r="J467" s="481"/>
      <c r="K467" s="519"/>
      <c r="L467" s="519"/>
      <c r="M467" s="519"/>
      <c r="N467" s="519"/>
      <c r="O467" s="519"/>
      <c r="P467" s="519"/>
      <c r="Q467" s="496">
        <f t="shared" si="517"/>
        <v>79000</v>
      </c>
      <c r="R467" s="496">
        <f t="shared" si="518"/>
        <v>79000</v>
      </c>
      <c r="S467" s="482"/>
      <c r="T467" s="482"/>
      <c r="U467" s="482"/>
      <c r="V467" s="482"/>
      <c r="W467" s="482"/>
      <c r="X467" s="496">
        <v>79000</v>
      </c>
      <c r="Y467" s="496">
        <v>79000</v>
      </c>
      <c r="Z467" s="519"/>
      <c r="AA467" s="519"/>
      <c r="AB467" s="496">
        <v>94491</v>
      </c>
      <c r="AC467" s="496">
        <v>94491</v>
      </c>
      <c r="AD467" s="519"/>
      <c r="AE467" s="519"/>
      <c r="AF467" s="519"/>
      <c r="AG467" s="519"/>
      <c r="AH467" s="482">
        <f t="shared" si="513"/>
        <v>173491</v>
      </c>
      <c r="AI467" s="482">
        <f t="shared" si="514"/>
        <v>173491</v>
      </c>
      <c r="AJ467" s="482"/>
      <c r="AK467" s="482"/>
      <c r="AL467" s="482">
        <f t="shared" si="496"/>
        <v>0</v>
      </c>
      <c r="AM467" s="482">
        <f t="shared" si="497"/>
        <v>0</v>
      </c>
      <c r="AN467" s="482">
        <f t="shared" si="498"/>
        <v>0</v>
      </c>
      <c r="AO467" s="482">
        <f t="shared" si="499"/>
        <v>0</v>
      </c>
      <c r="AP467" s="519"/>
      <c r="AQ467" s="519"/>
      <c r="AR467" s="519"/>
      <c r="AS467" s="519"/>
      <c r="AT467" s="633"/>
      <c r="AU467" s="484">
        <f t="shared" si="501"/>
        <v>0</v>
      </c>
      <c r="AV467" s="484">
        <f t="shared" si="504"/>
        <v>0</v>
      </c>
      <c r="AW467" s="521"/>
      <c r="AX467" s="486"/>
      <c r="AY467" s="487"/>
      <c r="AZ467" s="487"/>
      <c r="BA467" s="487"/>
      <c r="BG467" s="488">
        <f t="shared" si="502"/>
        <v>0</v>
      </c>
    </row>
    <row r="468" spans="1:59" s="81" customFormat="1" ht="59.25" customHeight="1">
      <c r="A468" s="517">
        <v>2</v>
      </c>
      <c r="B468" s="518" t="s">
        <v>725</v>
      </c>
      <c r="C468" s="480"/>
      <c r="D468" s="480"/>
      <c r="E468" s="480"/>
      <c r="F468" s="480"/>
      <c r="G468" s="480"/>
      <c r="H468" s="480"/>
      <c r="I468" s="480"/>
      <c r="J468" s="481"/>
      <c r="K468" s="519"/>
      <c r="L468" s="519"/>
      <c r="M468" s="519"/>
      <c r="N468" s="519"/>
      <c r="O468" s="519"/>
      <c r="P468" s="519"/>
      <c r="Q468" s="496">
        <f t="shared" si="517"/>
        <v>4166</v>
      </c>
      <c r="R468" s="496">
        <f t="shared" si="518"/>
        <v>4166</v>
      </c>
      <c r="S468" s="482"/>
      <c r="T468" s="482"/>
      <c r="U468" s="482"/>
      <c r="V468" s="482"/>
      <c r="W468" s="482"/>
      <c r="X468" s="496">
        <v>4166</v>
      </c>
      <c r="Y468" s="496">
        <v>4166</v>
      </c>
      <c r="Z468" s="519"/>
      <c r="AA468" s="519"/>
      <c r="AB468" s="496">
        <v>3760</v>
      </c>
      <c r="AC468" s="496">
        <v>3760</v>
      </c>
      <c r="AD468" s="519"/>
      <c r="AE468" s="519"/>
      <c r="AF468" s="519"/>
      <c r="AG468" s="519"/>
      <c r="AH468" s="482">
        <f t="shared" si="513"/>
        <v>7926</v>
      </c>
      <c r="AI468" s="482">
        <f t="shared" si="514"/>
        <v>7926</v>
      </c>
      <c r="AJ468" s="482"/>
      <c r="AK468" s="482"/>
      <c r="AL468" s="482">
        <f t="shared" si="496"/>
        <v>0</v>
      </c>
      <c r="AM468" s="482">
        <f t="shared" si="497"/>
        <v>0</v>
      </c>
      <c r="AN468" s="482">
        <f t="shared" si="498"/>
        <v>0</v>
      </c>
      <c r="AO468" s="482">
        <f t="shared" si="499"/>
        <v>0</v>
      </c>
      <c r="AP468" s="519"/>
      <c r="AQ468" s="519"/>
      <c r="AR468" s="519"/>
      <c r="AS468" s="519"/>
      <c r="AT468" s="633"/>
      <c r="AU468" s="484">
        <f t="shared" si="501"/>
        <v>0</v>
      </c>
      <c r="AV468" s="484">
        <f t="shared" si="504"/>
        <v>0</v>
      </c>
      <c r="AW468" s="521"/>
      <c r="AX468" s="486"/>
      <c r="AY468" s="487"/>
      <c r="AZ468" s="487"/>
      <c r="BA468" s="487"/>
      <c r="BG468" s="488">
        <f t="shared" si="502"/>
        <v>0</v>
      </c>
    </row>
    <row r="469" spans="1:59" s="81" customFormat="1" ht="59.25" customHeight="1">
      <c r="A469" s="517">
        <v>3</v>
      </c>
      <c r="B469" s="518" t="s">
        <v>726</v>
      </c>
      <c r="C469" s="480"/>
      <c r="D469" s="480"/>
      <c r="E469" s="480"/>
      <c r="F469" s="480"/>
      <c r="G469" s="480"/>
      <c r="H469" s="480"/>
      <c r="I469" s="480"/>
      <c r="J469" s="481"/>
      <c r="K469" s="519"/>
      <c r="L469" s="519"/>
      <c r="M469" s="519"/>
      <c r="N469" s="519"/>
      <c r="O469" s="519"/>
      <c r="P469" s="519"/>
      <c r="Q469" s="496">
        <f t="shared" si="517"/>
        <v>1428</v>
      </c>
      <c r="R469" s="496">
        <f t="shared" si="518"/>
        <v>1428</v>
      </c>
      <c r="S469" s="482"/>
      <c r="T469" s="482"/>
      <c r="U469" s="482"/>
      <c r="V469" s="482"/>
      <c r="W469" s="482"/>
      <c r="X469" s="496">
        <v>1428</v>
      </c>
      <c r="Y469" s="496">
        <v>1428</v>
      </c>
      <c r="Z469" s="519"/>
      <c r="AA469" s="519"/>
      <c r="AB469" s="520">
        <v>2789</v>
      </c>
      <c r="AC469" s="520">
        <v>2789</v>
      </c>
      <c r="AD469" s="519"/>
      <c r="AE469" s="519"/>
      <c r="AF469" s="519"/>
      <c r="AG469" s="519"/>
      <c r="AH469" s="482">
        <f t="shared" si="513"/>
        <v>4217</v>
      </c>
      <c r="AI469" s="482">
        <f t="shared" si="514"/>
        <v>4217</v>
      </c>
      <c r="AJ469" s="482"/>
      <c r="AK469" s="482"/>
      <c r="AL469" s="482">
        <f t="shared" si="496"/>
        <v>0</v>
      </c>
      <c r="AM469" s="482">
        <f t="shared" si="497"/>
        <v>0</v>
      </c>
      <c r="AN469" s="482">
        <f t="shared" si="498"/>
        <v>0</v>
      </c>
      <c r="AO469" s="482">
        <f t="shared" si="499"/>
        <v>0</v>
      </c>
      <c r="AP469" s="519"/>
      <c r="AQ469" s="519"/>
      <c r="AR469" s="519"/>
      <c r="AS469" s="519"/>
      <c r="AT469" s="494"/>
      <c r="AU469" s="484">
        <f t="shared" si="501"/>
        <v>0</v>
      </c>
      <c r="AV469" s="484">
        <f t="shared" si="504"/>
        <v>0</v>
      </c>
      <c r="AW469" s="521"/>
      <c r="AX469" s="486"/>
      <c r="AY469" s="487"/>
      <c r="AZ469" s="487"/>
      <c r="BA469" s="487"/>
      <c r="BG469" s="488">
        <f t="shared" si="502"/>
        <v>0</v>
      </c>
    </row>
    <row r="470" spans="1:59" s="81" customFormat="1" ht="59.25" customHeight="1">
      <c r="A470" s="517">
        <v>4</v>
      </c>
      <c r="B470" s="518" t="s">
        <v>727</v>
      </c>
      <c r="C470" s="480"/>
      <c r="D470" s="480"/>
      <c r="E470" s="480"/>
      <c r="F470" s="480"/>
      <c r="G470" s="480"/>
      <c r="H470" s="480"/>
      <c r="I470" s="480"/>
      <c r="J470" s="481"/>
      <c r="K470" s="519"/>
      <c r="L470" s="519"/>
      <c r="M470" s="519"/>
      <c r="N470" s="519"/>
      <c r="O470" s="519"/>
      <c r="P470" s="519"/>
      <c r="Q470" s="496">
        <f t="shared" si="517"/>
        <v>0</v>
      </c>
      <c r="R470" s="496">
        <f t="shared" si="518"/>
        <v>0</v>
      </c>
      <c r="S470" s="482"/>
      <c r="T470" s="482"/>
      <c r="U470" s="482"/>
      <c r="V470" s="482"/>
      <c r="W470" s="482"/>
      <c r="X470" s="519"/>
      <c r="Y470" s="519"/>
      <c r="Z470" s="519"/>
      <c r="AA470" s="519"/>
      <c r="AB470" s="520">
        <v>492</v>
      </c>
      <c r="AC470" s="520">
        <v>492</v>
      </c>
      <c r="AD470" s="519"/>
      <c r="AE470" s="519"/>
      <c r="AF470" s="519"/>
      <c r="AG470" s="519"/>
      <c r="AH470" s="482">
        <f t="shared" si="513"/>
        <v>492</v>
      </c>
      <c r="AI470" s="482">
        <f t="shared" si="514"/>
        <v>492</v>
      </c>
      <c r="AJ470" s="482"/>
      <c r="AK470" s="482"/>
      <c r="AL470" s="482">
        <f t="shared" si="496"/>
        <v>0</v>
      </c>
      <c r="AM470" s="482">
        <f t="shared" si="497"/>
        <v>0</v>
      </c>
      <c r="AN470" s="482">
        <f t="shared" si="498"/>
        <v>0</v>
      </c>
      <c r="AO470" s="482">
        <f t="shared" si="499"/>
        <v>0</v>
      </c>
      <c r="AP470" s="519"/>
      <c r="AQ470" s="519"/>
      <c r="AR470" s="519"/>
      <c r="AS470" s="519"/>
      <c r="AT470" s="494"/>
      <c r="AU470" s="484">
        <f t="shared" si="501"/>
        <v>0</v>
      </c>
      <c r="AV470" s="484">
        <f t="shared" si="504"/>
        <v>0</v>
      </c>
      <c r="AW470" s="521"/>
      <c r="AX470" s="486"/>
      <c r="AY470" s="487"/>
      <c r="AZ470" s="487"/>
      <c r="BA470" s="487"/>
      <c r="BG470" s="488">
        <f t="shared" si="502"/>
        <v>0</v>
      </c>
    </row>
    <row r="471" spans="1:59" s="81" customFormat="1" ht="59.25" customHeight="1">
      <c r="A471" s="517">
        <v>5</v>
      </c>
      <c r="B471" s="518" t="s">
        <v>728</v>
      </c>
      <c r="C471" s="480"/>
      <c r="D471" s="480"/>
      <c r="E471" s="480"/>
      <c r="F471" s="480"/>
      <c r="G471" s="480"/>
      <c r="H471" s="480"/>
      <c r="I471" s="480"/>
      <c r="J471" s="481"/>
      <c r="K471" s="519"/>
      <c r="L471" s="519"/>
      <c r="M471" s="519"/>
      <c r="N471" s="519"/>
      <c r="O471" s="519"/>
      <c r="P471" s="519"/>
      <c r="Q471" s="496">
        <f t="shared" si="517"/>
        <v>0</v>
      </c>
      <c r="R471" s="496">
        <f t="shared" si="518"/>
        <v>0</v>
      </c>
      <c r="S471" s="482"/>
      <c r="T471" s="482"/>
      <c r="U471" s="482"/>
      <c r="V471" s="482"/>
      <c r="W471" s="482"/>
      <c r="X471" s="519"/>
      <c r="Y471" s="519"/>
      <c r="Z471" s="519"/>
      <c r="AA471" s="519"/>
      <c r="AB471" s="520">
        <v>483</v>
      </c>
      <c r="AC471" s="520">
        <v>483</v>
      </c>
      <c r="AD471" s="519"/>
      <c r="AE471" s="519"/>
      <c r="AF471" s="519"/>
      <c r="AG471" s="519"/>
      <c r="AH471" s="482">
        <f t="shared" si="513"/>
        <v>483</v>
      </c>
      <c r="AI471" s="482">
        <f t="shared" si="514"/>
        <v>483</v>
      </c>
      <c r="AJ471" s="482"/>
      <c r="AK471" s="482"/>
      <c r="AL471" s="482">
        <f t="shared" si="496"/>
        <v>0</v>
      </c>
      <c r="AM471" s="482">
        <f t="shared" si="497"/>
        <v>0</v>
      </c>
      <c r="AN471" s="482">
        <f t="shared" si="498"/>
        <v>0</v>
      </c>
      <c r="AO471" s="482">
        <f t="shared" si="499"/>
        <v>0</v>
      </c>
      <c r="AP471" s="519"/>
      <c r="AQ471" s="519"/>
      <c r="AR471" s="519"/>
      <c r="AS471" s="519"/>
      <c r="AT471" s="494"/>
      <c r="AU471" s="484">
        <f t="shared" si="501"/>
        <v>0</v>
      </c>
      <c r="AV471" s="484">
        <f t="shared" si="504"/>
        <v>0</v>
      </c>
      <c r="AW471" s="521"/>
      <c r="AX471" s="486"/>
      <c r="AY471" s="487"/>
      <c r="AZ471" s="487"/>
      <c r="BA471" s="487"/>
      <c r="BG471" s="488">
        <f t="shared" si="502"/>
        <v>0</v>
      </c>
    </row>
    <row r="472" spans="1:59" s="81" customFormat="1" ht="59.25" customHeight="1">
      <c r="A472" s="517">
        <v>6</v>
      </c>
      <c r="B472" s="522" t="s">
        <v>729</v>
      </c>
      <c r="C472" s="480"/>
      <c r="D472" s="480"/>
      <c r="E472" s="480"/>
      <c r="F472" s="480"/>
      <c r="G472" s="480"/>
      <c r="H472" s="480"/>
      <c r="I472" s="480"/>
      <c r="J472" s="481"/>
      <c r="K472" s="519"/>
      <c r="L472" s="519"/>
      <c r="M472" s="519"/>
      <c r="N472" s="519"/>
      <c r="O472" s="519"/>
      <c r="P472" s="519"/>
      <c r="Q472" s="496">
        <f t="shared" si="517"/>
        <v>0</v>
      </c>
      <c r="R472" s="496">
        <f t="shared" si="518"/>
        <v>0</v>
      </c>
      <c r="S472" s="482"/>
      <c r="T472" s="482"/>
      <c r="U472" s="482"/>
      <c r="V472" s="482"/>
      <c r="W472" s="482"/>
      <c r="X472" s="519"/>
      <c r="Y472" s="519"/>
      <c r="Z472" s="519"/>
      <c r="AA472" s="519"/>
      <c r="AB472" s="520">
        <v>53</v>
      </c>
      <c r="AC472" s="520">
        <v>53</v>
      </c>
      <c r="AD472" s="519"/>
      <c r="AE472" s="519"/>
      <c r="AF472" s="519"/>
      <c r="AG472" s="519"/>
      <c r="AH472" s="482">
        <f t="shared" si="513"/>
        <v>53</v>
      </c>
      <c r="AI472" s="482">
        <f t="shared" si="514"/>
        <v>53</v>
      </c>
      <c r="AJ472" s="482"/>
      <c r="AK472" s="482"/>
      <c r="AL472" s="482">
        <f t="shared" si="496"/>
        <v>0</v>
      </c>
      <c r="AM472" s="482">
        <f t="shared" si="497"/>
        <v>0</v>
      </c>
      <c r="AN472" s="482">
        <f t="shared" si="498"/>
        <v>0</v>
      </c>
      <c r="AO472" s="482">
        <f t="shared" si="499"/>
        <v>0</v>
      </c>
      <c r="AP472" s="519"/>
      <c r="AQ472" s="519"/>
      <c r="AR472" s="519"/>
      <c r="AS472" s="519"/>
      <c r="AT472" s="494"/>
      <c r="AU472" s="484">
        <f t="shared" si="501"/>
        <v>0</v>
      </c>
      <c r="AV472" s="484">
        <f t="shared" si="504"/>
        <v>0</v>
      </c>
      <c r="AW472" s="521"/>
      <c r="AX472" s="486"/>
      <c r="AY472" s="487"/>
      <c r="AZ472" s="487"/>
      <c r="BA472" s="487"/>
      <c r="BG472" s="488">
        <f t="shared" si="502"/>
        <v>0</v>
      </c>
    </row>
    <row r="473" spans="1:59" s="81" customFormat="1" ht="84" customHeight="1">
      <c r="A473" s="517">
        <v>7</v>
      </c>
      <c r="B473" s="611" t="s">
        <v>730</v>
      </c>
      <c r="C473" s="480"/>
      <c r="D473" s="480"/>
      <c r="E473" s="480"/>
      <c r="F473" s="480"/>
      <c r="G473" s="480"/>
      <c r="H473" s="480"/>
      <c r="I473" s="480"/>
      <c r="J473" s="481"/>
      <c r="K473" s="519"/>
      <c r="L473" s="519"/>
      <c r="M473" s="519"/>
      <c r="N473" s="519"/>
      <c r="O473" s="519"/>
      <c r="P473" s="519"/>
      <c r="Q473" s="496">
        <f t="shared" si="517"/>
        <v>0</v>
      </c>
      <c r="R473" s="496">
        <f t="shared" si="518"/>
        <v>0</v>
      </c>
      <c r="S473" s="482"/>
      <c r="T473" s="482"/>
      <c r="U473" s="482"/>
      <c r="V473" s="482"/>
      <c r="W473" s="482"/>
      <c r="X473" s="519"/>
      <c r="Y473" s="519"/>
      <c r="Z473" s="519"/>
      <c r="AA473" s="519"/>
      <c r="AB473" s="496">
        <v>50000</v>
      </c>
      <c r="AC473" s="496">
        <v>50000</v>
      </c>
      <c r="AD473" s="519"/>
      <c r="AE473" s="519"/>
      <c r="AF473" s="519"/>
      <c r="AG473" s="519"/>
      <c r="AH473" s="482">
        <f t="shared" si="513"/>
        <v>50000</v>
      </c>
      <c r="AI473" s="482">
        <f t="shared" si="514"/>
        <v>50000</v>
      </c>
      <c r="AJ473" s="482"/>
      <c r="AK473" s="482"/>
      <c r="AL473" s="482">
        <f t="shared" si="496"/>
        <v>0</v>
      </c>
      <c r="AM473" s="482">
        <f t="shared" si="497"/>
        <v>0</v>
      </c>
      <c r="AN473" s="482">
        <f t="shared" si="498"/>
        <v>0</v>
      </c>
      <c r="AO473" s="482">
        <f t="shared" si="499"/>
        <v>0</v>
      </c>
      <c r="AP473" s="519"/>
      <c r="AQ473" s="519"/>
      <c r="AR473" s="519"/>
      <c r="AS473" s="519"/>
      <c r="AT473" s="536"/>
      <c r="AU473" s="484">
        <f t="shared" si="501"/>
        <v>0</v>
      </c>
      <c r="AV473" s="484">
        <f t="shared" si="504"/>
        <v>0</v>
      </c>
      <c r="AW473" s="536"/>
      <c r="AX473" s="486"/>
      <c r="AY473" s="487"/>
      <c r="AZ473" s="487"/>
      <c r="BA473" s="487"/>
      <c r="BG473" s="488">
        <f t="shared" si="502"/>
        <v>0</v>
      </c>
    </row>
    <row r="474" spans="1:59" s="81" customFormat="1" ht="59.25" hidden="1" customHeight="1">
      <c r="A474" s="576"/>
      <c r="B474" s="514"/>
      <c r="C474" s="480"/>
      <c r="D474" s="480"/>
      <c r="E474" s="480"/>
      <c r="F474" s="480"/>
      <c r="G474" s="480"/>
      <c r="H474" s="480"/>
      <c r="I474" s="480"/>
      <c r="J474" s="481"/>
      <c r="K474" s="519"/>
      <c r="L474" s="519"/>
      <c r="M474" s="519"/>
      <c r="N474" s="519"/>
      <c r="O474" s="519"/>
      <c r="P474" s="519"/>
      <c r="Q474" s="496">
        <f t="shared" si="517"/>
        <v>0</v>
      </c>
      <c r="R474" s="496">
        <f t="shared" si="518"/>
        <v>0</v>
      </c>
      <c r="S474" s="482"/>
      <c r="T474" s="482"/>
      <c r="U474" s="482"/>
      <c r="V474" s="482"/>
      <c r="W474" s="482"/>
      <c r="X474" s="519"/>
      <c r="Y474" s="519"/>
      <c r="Z474" s="519"/>
      <c r="AA474" s="519"/>
      <c r="AB474" s="519"/>
      <c r="AC474" s="519"/>
      <c r="AD474" s="519"/>
      <c r="AE474" s="519"/>
      <c r="AF474" s="519"/>
      <c r="AG474" s="519"/>
      <c r="AH474" s="482">
        <f t="shared" si="513"/>
        <v>0</v>
      </c>
      <c r="AI474" s="482">
        <f t="shared" si="514"/>
        <v>0</v>
      </c>
      <c r="AJ474" s="482"/>
      <c r="AK474" s="482"/>
      <c r="AL474" s="482">
        <f t="shared" si="496"/>
        <v>0</v>
      </c>
      <c r="AM474" s="482">
        <f t="shared" si="497"/>
        <v>0</v>
      </c>
      <c r="AN474" s="482">
        <f t="shared" si="498"/>
        <v>0</v>
      </c>
      <c r="AO474" s="482">
        <f t="shared" si="499"/>
        <v>0</v>
      </c>
      <c r="AP474" s="519"/>
      <c r="AQ474" s="519"/>
      <c r="AR474" s="519"/>
      <c r="AS474" s="519"/>
      <c r="AT474" s="494"/>
      <c r="AU474" s="484">
        <f t="shared" si="501"/>
        <v>0</v>
      </c>
      <c r="AV474" s="484">
        <f t="shared" si="504"/>
        <v>0</v>
      </c>
      <c r="AW474" s="521"/>
      <c r="AX474" s="486"/>
      <c r="AY474" s="487"/>
      <c r="AZ474" s="487"/>
      <c r="BA474" s="487"/>
      <c r="BG474" s="488">
        <f t="shared" si="502"/>
        <v>0</v>
      </c>
    </row>
    <row r="475" spans="1:59" s="81" customFormat="1" ht="59.25" hidden="1" customHeight="1">
      <c r="A475" s="576"/>
      <c r="B475" s="739"/>
      <c r="C475" s="480">
        <v>0</v>
      </c>
      <c r="D475" s="480"/>
      <c r="E475" s="480"/>
      <c r="F475" s="480"/>
      <c r="G475" s="480"/>
      <c r="H475" s="480"/>
      <c r="I475" s="480"/>
      <c r="J475" s="481"/>
      <c r="K475" s="519"/>
      <c r="L475" s="519"/>
      <c r="M475" s="519"/>
      <c r="N475" s="519"/>
      <c r="O475" s="519"/>
      <c r="P475" s="519"/>
      <c r="Q475" s="496">
        <f t="shared" si="517"/>
        <v>0</v>
      </c>
      <c r="R475" s="496">
        <f t="shared" si="518"/>
        <v>0</v>
      </c>
      <c r="S475" s="482"/>
      <c r="T475" s="482"/>
      <c r="U475" s="482"/>
      <c r="V475" s="482"/>
      <c r="W475" s="482"/>
      <c r="X475" s="519"/>
      <c r="Y475" s="519"/>
      <c r="Z475" s="519"/>
      <c r="AA475" s="519"/>
      <c r="AB475" s="519"/>
      <c r="AC475" s="519"/>
      <c r="AD475" s="519"/>
      <c r="AE475" s="519"/>
      <c r="AF475" s="519"/>
      <c r="AG475" s="519"/>
      <c r="AH475" s="482">
        <f t="shared" si="513"/>
        <v>0</v>
      </c>
      <c r="AI475" s="482">
        <f t="shared" si="514"/>
        <v>0</v>
      </c>
      <c r="AJ475" s="482"/>
      <c r="AK475" s="482"/>
      <c r="AL475" s="482">
        <f t="shared" si="496"/>
        <v>0</v>
      </c>
      <c r="AM475" s="482">
        <f t="shared" si="497"/>
        <v>0</v>
      </c>
      <c r="AN475" s="482">
        <f t="shared" si="498"/>
        <v>0</v>
      </c>
      <c r="AO475" s="482">
        <f t="shared" si="499"/>
        <v>0</v>
      </c>
      <c r="AP475" s="519"/>
      <c r="AQ475" s="519"/>
      <c r="AR475" s="519"/>
      <c r="AS475" s="519"/>
      <c r="AT475" s="600"/>
      <c r="AU475" s="484">
        <f t="shared" si="501"/>
        <v>0</v>
      </c>
      <c r="AV475" s="484">
        <f t="shared" si="504"/>
        <v>0</v>
      </c>
      <c r="AW475" s="600"/>
      <c r="AX475" s="486"/>
      <c r="AY475" s="487"/>
      <c r="AZ475" s="487"/>
      <c r="BA475" s="487"/>
      <c r="BG475" s="488">
        <f t="shared" si="502"/>
        <v>0</v>
      </c>
    </row>
    <row r="476" spans="1:59" s="81" customFormat="1" ht="59.25" customHeight="1">
      <c r="A476" s="734"/>
      <c r="B476" s="739" t="s">
        <v>731</v>
      </c>
      <c r="C476" s="480"/>
      <c r="D476" s="480"/>
      <c r="E476" s="480"/>
      <c r="F476" s="480"/>
      <c r="G476" s="480"/>
      <c r="H476" s="480"/>
      <c r="I476" s="480"/>
      <c r="J476" s="481"/>
      <c r="K476" s="519"/>
      <c r="L476" s="519"/>
      <c r="M476" s="519"/>
      <c r="N476" s="519"/>
      <c r="O476" s="519"/>
      <c r="P476" s="519"/>
      <c r="Q476" s="496"/>
      <c r="R476" s="496"/>
      <c r="S476" s="482"/>
      <c r="T476" s="482">
        <v>109800</v>
      </c>
      <c r="U476" s="482"/>
      <c r="V476" s="482"/>
      <c r="W476" s="482"/>
      <c r="X476" s="519"/>
      <c r="Y476" s="519"/>
      <c r="Z476" s="519"/>
      <c r="AA476" s="741"/>
      <c r="AB476" s="742"/>
      <c r="AC476" s="741">
        <v>17000</v>
      </c>
      <c r="AD476" s="741"/>
      <c r="AE476" s="519"/>
      <c r="AF476" s="519"/>
      <c r="AG476" s="519"/>
      <c r="AH476" s="482">
        <f t="shared" si="513"/>
        <v>0</v>
      </c>
      <c r="AI476" s="482">
        <f t="shared" si="514"/>
        <v>17000</v>
      </c>
      <c r="AJ476" s="482"/>
      <c r="AK476" s="482"/>
      <c r="AL476" s="482">
        <f t="shared" si="496"/>
        <v>0</v>
      </c>
      <c r="AM476" s="482">
        <f t="shared" si="497"/>
        <v>0</v>
      </c>
      <c r="AN476" s="482">
        <f t="shared" si="498"/>
        <v>0</v>
      </c>
      <c r="AO476" s="482">
        <f t="shared" si="499"/>
        <v>0</v>
      </c>
      <c r="AP476" s="519"/>
      <c r="AQ476" s="519"/>
      <c r="AR476" s="519"/>
      <c r="AS476" s="519"/>
      <c r="AT476" s="600"/>
      <c r="AU476" s="484">
        <f t="shared" si="501"/>
        <v>0</v>
      </c>
      <c r="AV476" s="484">
        <f t="shared" si="504"/>
        <v>0</v>
      </c>
      <c r="AW476" s="600"/>
      <c r="AX476" s="486"/>
      <c r="AY476" s="487"/>
      <c r="AZ476" s="487"/>
      <c r="BA476" s="487"/>
      <c r="BG476" s="488">
        <f t="shared" si="502"/>
        <v>0</v>
      </c>
    </row>
    <row r="477" spans="1:59" s="81" customFormat="1" ht="134.25" customHeight="1">
      <c r="A477" s="566">
        <v>2</v>
      </c>
      <c r="B477" s="518" t="s">
        <v>790</v>
      </c>
      <c r="C477" s="651" t="s">
        <v>487</v>
      </c>
      <c r="D477" s="608"/>
      <c r="E477" s="651" t="s">
        <v>1007</v>
      </c>
      <c r="F477" s="608"/>
      <c r="G477" s="608"/>
      <c r="H477" s="517" t="s">
        <v>791</v>
      </c>
      <c r="I477" s="652" t="s">
        <v>792</v>
      </c>
      <c r="J477" s="653" t="s">
        <v>1070</v>
      </c>
      <c r="K477" s="654">
        <v>439300</v>
      </c>
      <c r="L477" s="654">
        <v>70000</v>
      </c>
      <c r="M477" s="519"/>
      <c r="N477" s="519"/>
      <c r="O477" s="519"/>
      <c r="P477" s="519"/>
      <c r="Q477" s="496"/>
      <c r="R477" s="496"/>
      <c r="S477" s="496">
        <f>T477</f>
        <v>40000</v>
      </c>
      <c r="T477" s="496">
        <v>40000</v>
      </c>
      <c r="U477" s="482"/>
      <c r="V477" s="482"/>
      <c r="W477" s="496">
        <v>310000</v>
      </c>
      <c r="X477" s="519"/>
      <c r="Y477" s="519"/>
      <c r="Z477" s="519"/>
      <c r="AA477" s="519"/>
      <c r="AB477" s="519"/>
      <c r="AC477" s="519"/>
      <c r="AD477" s="519"/>
      <c r="AE477" s="519"/>
      <c r="AF477" s="519"/>
      <c r="AG477" s="519"/>
      <c r="AH477" s="496"/>
      <c r="AI477" s="496"/>
      <c r="AJ477" s="496"/>
      <c r="AK477" s="496"/>
      <c r="AL477" s="496">
        <v>84908</v>
      </c>
      <c r="AM477" s="496">
        <f>AL477</f>
        <v>84908</v>
      </c>
      <c r="AN477" s="482"/>
      <c r="AO477" s="482"/>
      <c r="AP477" s="520">
        <f>AQ477</f>
        <v>11500</v>
      </c>
      <c r="AQ477" s="520">
        <v>11500</v>
      </c>
      <c r="AR477" s="519"/>
      <c r="AS477" s="519"/>
      <c r="AT477" s="600"/>
      <c r="AU477" s="484"/>
      <c r="AV477" s="484"/>
      <c r="AW477" s="600"/>
      <c r="AX477" s="486"/>
      <c r="AY477" s="487"/>
      <c r="AZ477" s="487"/>
      <c r="BA477" s="487"/>
      <c r="BG477" s="488"/>
    </row>
    <row r="478" spans="1:59" s="81" customFormat="1" ht="71.25" customHeight="1">
      <c r="A478" s="566">
        <v>3</v>
      </c>
      <c r="B478" s="743" t="s">
        <v>926</v>
      </c>
      <c r="C478" s="651" t="s">
        <v>1037</v>
      </c>
      <c r="D478" s="608"/>
      <c r="E478" s="629" t="s">
        <v>993</v>
      </c>
      <c r="F478" s="608"/>
      <c r="G478" s="608"/>
      <c r="H478" s="517"/>
      <c r="I478" s="494" t="s">
        <v>381</v>
      </c>
      <c r="J478" s="653" t="s">
        <v>1074</v>
      </c>
      <c r="K478" s="654">
        <v>80000</v>
      </c>
      <c r="L478" s="654">
        <v>52000</v>
      </c>
      <c r="M478" s="519"/>
      <c r="N478" s="519"/>
      <c r="O478" s="519"/>
      <c r="P478" s="519"/>
      <c r="Q478" s="496"/>
      <c r="R478" s="496"/>
      <c r="S478" s="496">
        <f>T478</f>
        <v>35000</v>
      </c>
      <c r="T478" s="496">
        <v>35000</v>
      </c>
      <c r="U478" s="482"/>
      <c r="V478" s="482"/>
      <c r="W478" s="482"/>
      <c r="X478" s="519"/>
      <c r="Y478" s="519"/>
      <c r="Z478" s="519"/>
      <c r="AA478" s="519"/>
      <c r="AB478" s="519"/>
      <c r="AC478" s="519"/>
      <c r="AD478" s="519"/>
      <c r="AE478" s="519"/>
      <c r="AF478" s="519"/>
      <c r="AG478" s="519"/>
      <c r="AH478" s="496"/>
      <c r="AI478" s="496"/>
      <c r="AJ478" s="496"/>
      <c r="AK478" s="496"/>
      <c r="AL478" s="496"/>
      <c r="AM478" s="496"/>
      <c r="AN478" s="482"/>
      <c r="AO478" s="482"/>
      <c r="AP478" s="520">
        <f>AQ478</f>
        <v>10500</v>
      </c>
      <c r="AQ478" s="520">
        <v>10500</v>
      </c>
      <c r="AR478" s="519"/>
      <c r="AS478" s="519"/>
      <c r="AT478" s="600" t="s">
        <v>1075</v>
      </c>
      <c r="AU478" s="484"/>
      <c r="AV478" s="484"/>
      <c r="AW478" s="600"/>
      <c r="AX478" s="486"/>
      <c r="AY478" s="487"/>
      <c r="AZ478" s="487"/>
      <c r="BA478" s="487"/>
      <c r="BG478" s="488"/>
    </row>
    <row r="479" spans="1:59" s="81" customFormat="1" ht="59.25" customHeight="1">
      <c r="A479" s="566">
        <v>4</v>
      </c>
      <c r="B479" s="577" t="s">
        <v>928</v>
      </c>
      <c r="C479" s="651" t="s">
        <v>1037</v>
      </c>
      <c r="D479" s="608"/>
      <c r="E479" s="651" t="s">
        <v>987</v>
      </c>
      <c r="F479" s="608"/>
      <c r="G479" s="608"/>
      <c r="H479" s="517"/>
      <c r="I479" s="494" t="s">
        <v>1036</v>
      </c>
      <c r="J479" s="494" t="s">
        <v>1035</v>
      </c>
      <c r="K479" s="705">
        <v>236032</v>
      </c>
      <c r="L479" s="705">
        <v>63000</v>
      </c>
      <c r="M479" s="519"/>
      <c r="N479" s="519"/>
      <c r="O479" s="519"/>
      <c r="P479" s="519"/>
      <c r="Q479" s="496"/>
      <c r="R479" s="496"/>
      <c r="S479" s="496">
        <f>T479</f>
        <v>63000</v>
      </c>
      <c r="T479" s="496">
        <v>63000</v>
      </c>
      <c r="U479" s="482"/>
      <c r="V479" s="482"/>
      <c r="W479" s="496">
        <v>172900</v>
      </c>
      <c r="X479" s="519"/>
      <c r="Y479" s="519"/>
      <c r="Z479" s="519"/>
      <c r="AA479" s="519"/>
      <c r="AB479" s="519"/>
      <c r="AC479" s="519"/>
      <c r="AD479" s="519"/>
      <c r="AE479" s="519"/>
      <c r="AF479" s="519"/>
      <c r="AG479" s="519"/>
      <c r="AH479" s="496"/>
      <c r="AI479" s="496"/>
      <c r="AJ479" s="496"/>
      <c r="AK479" s="496"/>
      <c r="AL479" s="496"/>
      <c r="AM479" s="496"/>
      <c r="AN479" s="482"/>
      <c r="AO479" s="482"/>
      <c r="AP479" s="520">
        <f>AQ479</f>
        <v>18000</v>
      </c>
      <c r="AQ479" s="520">
        <v>18000</v>
      </c>
      <c r="AR479" s="519"/>
      <c r="AS479" s="519"/>
      <c r="AT479" s="600"/>
      <c r="AU479" s="484"/>
      <c r="AV479" s="484"/>
      <c r="AW479" s="600"/>
      <c r="AX479" s="486"/>
      <c r="AY479" s="487"/>
      <c r="AZ479" s="487"/>
      <c r="BA479" s="487"/>
      <c r="BG479" s="488"/>
    </row>
    <row r="480" spans="1:59" s="81" customFormat="1" ht="59.25" customHeight="1">
      <c r="A480" s="627"/>
      <c r="B480" s="744" t="s">
        <v>941</v>
      </c>
      <c r="C480" s="745"/>
      <c r="D480" s="745"/>
      <c r="E480" s="745"/>
      <c r="F480" s="745"/>
      <c r="G480" s="745"/>
      <c r="H480" s="716"/>
      <c r="I480" s="746"/>
      <c r="J480" s="747"/>
      <c r="K480" s="748"/>
      <c r="L480" s="748"/>
      <c r="M480" s="519"/>
      <c r="N480" s="519"/>
      <c r="O480" s="519"/>
      <c r="P480" s="519"/>
      <c r="Q480" s="482"/>
      <c r="R480" s="482"/>
      <c r="S480" s="482"/>
      <c r="T480" s="482"/>
      <c r="U480" s="482"/>
      <c r="V480" s="482"/>
      <c r="W480" s="482"/>
      <c r="X480" s="519"/>
      <c r="Y480" s="519"/>
      <c r="Z480" s="519"/>
      <c r="AA480" s="519"/>
      <c r="AB480" s="519"/>
      <c r="AC480" s="519"/>
      <c r="AD480" s="519"/>
      <c r="AE480" s="519"/>
      <c r="AF480" s="519"/>
      <c r="AG480" s="519"/>
      <c r="AH480" s="482"/>
      <c r="AI480" s="482"/>
      <c r="AJ480" s="482"/>
      <c r="AK480" s="482"/>
      <c r="AL480" s="482"/>
      <c r="AM480" s="482"/>
      <c r="AN480" s="482"/>
      <c r="AO480" s="482"/>
      <c r="AP480" s="519"/>
      <c r="AQ480" s="519">
        <v>20000</v>
      </c>
      <c r="AR480" s="519"/>
      <c r="AS480" s="519"/>
      <c r="AT480" s="605"/>
      <c r="AU480" s="489"/>
      <c r="AV480" s="489"/>
      <c r="AW480" s="605"/>
      <c r="AX480" s="486"/>
      <c r="AY480" s="487"/>
      <c r="AZ480" s="487"/>
      <c r="BA480" s="487"/>
      <c r="BG480" s="516"/>
    </row>
    <row r="481" spans="1:60" s="81" customFormat="1" ht="59.25" customHeight="1">
      <c r="A481" s="576" t="s">
        <v>732</v>
      </c>
      <c r="B481" s="749" t="s">
        <v>733</v>
      </c>
      <c r="C481" s="480"/>
      <c r="D481" s="480"/>
      <c r="E481" s="480"/>
      <c r="F481" s="480"/>
      <c r="G481" s="480"/>
      <c r="H481" s="750"/>
      <c r="I481" s="480"/>
      <c r="J481" s="494"/>
      <c r="K481" s="515">
        <f>K484+K487+K490+K494+K500</f>
        <v>83943</v>
      </c>
      <c r="L481" s="515">
        <f t="shared" ref="L481:AS481" si="519">L484+L487+L490+L494+L500</f>
        <v>38943</v>
      </c>
      <c r="M481" s="515">
        <f t="shared" si="519"/>
        <v>0</v>
      </c>
      <c r="N481" s="515">
        <f t="shared" si="519"/>
        <v>0</v>
      </c>
      <c r="O481" s="515">
        <f t="shared" si="519"/>
        <v>0</v>
      </c>
      <c r="P481" s="515">
        <f t="shared" si="519"/>
        <v>0</v>
      </c>
      <c r="Q481" s="515">
        <f t="shared" si="519"/>
        <v>0</v>
      </c>
      <c r="R481" s="515">
        <f t="shared" si="519"/>
        <v>0</v>
      </c>
      <c r="S481" s="515">
        <f t="shared" si="519"/>
        <v>117998</v>
      </c>
      <c r="T481" s="515">
        <f t="shared" si="519"/>
        <v>95248</v>
      </c>
      <c r="U481" s="515">
        <f t="shared" si="519"/>
        <v>0</v>
      </c>
      <c r="V481" s="515">
        <f t="shared" si="519"/>
        <v>0</v>
      </c>
      <c r="W481" s="515">
        <f t="shared" si="519"/>
        <v>13094</v>
      </c>
      <c r="X481" s="515">
        <f t="shared" si="519"/>
        <v>0</v>
      </c>
      <c r="Y481" s="515">
        <f t="shared" si="519"/>
        <v>0</v>
      </c>
      <c r="Z481" s="515">
        <f t="shared" si="519"/>
        <v>0</v>
      </c>
      <c r="AA481" s="515">
        <f t="shared" si="519"/>
        <v>0</v>
      </c>
      <c r="AB481" s="515">
        <f t="shared" si="519"/>
        <v>0</v>
      </c>
      <c r="AC481" s="515">
        <f t="shared" si="519"/>
        <v>0</v>
      </c>
      <c r="AD481" s="515">
        <f t="shared" si="519"/>
        <v>0</v>
      </c>
      <c r="AE481" s="515">
        <f t="shared" si="519"/>
        <v>0</v>
      </c>
      <c r="AF481" s="515">
        <f t="shared" si="519"/>
        <v>0</v>
      </c>
      <c r="AG481" s="515">
        <f t="shared" si="519"/>
        <v>0</v>
      </c>
      <c r="AH481" s="515">
        <f t="shared" si="519"/>
        <v>63748</v>
      </c>
      <c r="AI481" s="515">
        <f t="shared" si="519"/>
        <v>16701</v>
      </c>
      <c r="AJ481" s="515">
        <f t="shared" si="519"/>
        <v>0</v>
      </c>
      <c r="AK481" s="515">
        <f t="shared" si="519"/>
        <v>0</v>
      </c>
      <c r="AL481" s="515">
        <f t="shared" si="519"/>
        <v>22700</v>
      </c>
      <c r="AM481" s="515">
        <f t="shared" si="519"/>
        <v>22700</v>
      </c>
      <c r="AN481" s="515">
        <f t="shared" si="519"/>
        <v>0</v>
      </c>
      <c r="AO481" s="515">
        <f t="shared" si="519"/>
        <v>0</v>
      </c>
      <c r="AP481" s="515">
        <f t="shared" si="519"/>
        <v>21500</v>
      </c>
      <c r="AQ481" s="515">
        <f t="shared" si="519"/>
        <v>20000</v>
      </c>
      <c r="AR481" s="515">
        <f t="shared" si="519"/>
        <v>0</v>
      </c>
      <c r="AS481" s="515">
        <f t="shared" si="519"/>
        <v>0</v>
      </c>
      <c r="AT481" s="751" t="s">
        <v>1094</v>
      </c>
      <c r="AU481" s="484">
        <f t="shared" ref="AU481" si="520">AP481-AQ481</f>
        <v>1500</v>
      </c>
      <c r="AV481" s="484">
        <f t="shared" ref="AV481" si="521">V481-AA481</f>
        <v>0</v>
      </c>
      <c r="AW481" s="752"/>
      <c r="AX481" s="486"/>
      <c r="AY481" s="487"/>
      <c r="AZ481" s="487"/>
      <c r="BA481" s="487"/>
      <c r="BB481" s="753">
        <f>98903+Y481</f>
        <v>98903</v>
      </c>
      <c r="BC481" s="753" t="e">
        <f>#REF!-BB481</f>
        <v>#REF!</v>
      </c>
      <c r="BG481" s="488">
        <f t="shared" ref="BG481:BG506" si="522">AL481-AQ481</f>
        <v>2700</v>
      </c>
    </row>
    <row r="482" spans="1:60" s="766" customFormat="1" ht="59.25" customHeight="1">
      <c r="A482" s="754" t="s">
        <v>32</v>
      </c>
      <c r="B482" s="755" t="s">
        <v>1088</v>
      </c>
      <c r="C482" s="756"/>
      <c r="D482" s="756"/>
      <c r="E482" s="756"/>
      <c r="F482" s="756"/>
      <c r="G482" s="756"/>
      <c r="H482" s="757"/>
      <c r="I482" s="756"/>
      <c r="J482" s="758"/>
      <c r="K482" s="759"/>
      <c r="L482" s="759"/>
      <c r="M482" s="759"/>
      <c r="N482" s="759"/>
      <c r="O482" s="759"/>
      <c r="P482" s="759"/>
      <c r="Q482" s="759"/>
      <c r="R482" s="759"/>
      <c r="S482" s="759"/>
      <c r="T482" s="759"/>
      <c r="U482" s="759"/>
      <c r="V482" s="759"/>
      <c r="W482" s="759"/>
      <c r="X482" s="759"/>
      <c r="Y482" s="759"/>
      <c r="Z482" s="759"/>
      <c r="AA482" s="759"/>
      <c r="AB482" s="759"/>
      <c r="AC482" s="759"/>
      <c r="AD482" s="759"/>
      <c r="AE482" s="759"/>
      <c r="AF482" s="759"/>
      <c r="AG482" s="759"/>
      <c r="AH482" s="759"/>
      <c r="AI482" s="759"/>
      <c r="AJ482" s="759"/>
      <c r="AK482" s="759"/>
      <c r="AL482" s="759"/>
      <c r="AM482" s="759"/>
      <c r="AN482" s="759"/>
      <c r="AO482" s="759"/>
      <c r="AP482" s="759"/>
      <c r="AQ482" s="759"/>
      <c r="AR482" s="759"/>
      <c r="AS482" s="759"/>
      <c r="AT482" s="760" t="s">
        <v>1090</v>
      </c>
      <c r="AU482" s="761"/>
      <c r="AV482" s="761"/>
      <c r="AW482" s="762"/>
      <c r="AX482" s="763"/>
      <c r="AY482" s="764"/>
      <c r="AZ482" s="764"/>
      <c r="BA482" s="764"/>
      <c r="BB482" s="765"/>
      <c r="BC482" s="765"/>
      <c r="BG482" s="767"/>
    </row>
    <row r="483" spans="1:60" s="81" customFormat="1" ht="59.25" customHeight="1">
      <c r="A483" s="576" t="s">
        <v>48</v>
      </c>
      <c r="B483" s="539" t="s">
        <v>1089</v>
      </c>
      <c r="C483" s="480"/>
      <c r="D483" s="480"/>
      <c r="E483" s="480"/>
      <c r="F483" s="480"/>
      <c r="G483" s="480"/>
      <c r="H483" s="750"/>
      <c r="I483" s="480"/>
      <c r="J483" s="494"/>
      <c r="K483" s="515"/>
      <c r="L483" s="515"/>
      <c r="M483" s="515"/>
      <c r="N483" s="515"/>
      <c r="O483" s="515"/>
      <c r="P483" s="515"/>
      <c r="Q483" s="515"/>
      <c r="R483" s="515"/>
      <c r="S483" s="515"/>
      <c r="T483" s="515"/>
      <c r="U483" s="515"/>
      <c r="V483" s="515"/>
      <c r="W483" s="515"/>
      <c r="X483" s="515"/>
      <c r="Y483" s="515"/>
      <c r="Z483" s="515"/>
      <c r="AA483" s="515"/>
      <c r="AB483" s="515"/>
      <c r="AC483" s="515"/>
      <c r="AD483" s="515"/>
      <c r="AE483" s="515"/>
      <c r="AF483" s="515"/>
      <c r="AG483" s="515"/>
      <c r="AH483" s="515"/>
      <c r="AI483" s="515"/>
      <c r="AJ483" s="515"/>
      <c r="AK483" s="515"/>
      <c r="AL483" s="515"/>
      <c r="AM483" s="515"/>
      <c r="AN483" s="515"/>
      <c r="AO483" s="515"/>
      <c r="AP483" s="515"/>
      <c r="AQ483" s="515"/>
      <c r="AR483" s="515"/>
      <c r="AS483" s="515"/>
      <c r="AT483" s="768"/>
      <c r="AU483" s="484"/>
      <c r="AV483" s="484"/>
      <c r="AW483" s="752"/>
      <c r="AX483" s="486"/>
      <c r="AY483" s="487"/>
      <c r="AZ483" s="487"/>
      <c r="BA483" s="487"/>
      <c r="BB483" s="753"/>
      <c r="BC483" s="753"/>
      <c r="BG483" s="488"/>
    </row>
    <row r="484" spans="1:60" s="81" customFormat="1" ht="59.25" customHeight="1">
      <c r="A484" s="478" t="s">
        <v>33</v>
      </c>
      <c r="B484" s="539" t="s">
        <v>286</v>
      </c>
      <c r="C484" s="480"/>
      <c r="D484" s="480"/>
      <c r="E484" s="480"/>
      <c r="F484" s="480"/>
      <c r="G484" s="480"/>
      <c r="H484" s="750"/>
      <c r="I484" s="480"/>
      <c r="J484" s="494"/>
      <c r="K484" s="769">
        <f t="shared" ref="K484:AP485" si="523">K485</f>
        <v>22683</v>
      </c>
      <c r="L484" s="769">
        <f t="shared" si="523"/>
        <v>9683</v>
      </c>
      <c r="M484" s="769">
        <f t="shared" si="523"/>
        <v>0</v>
      </c>
      <c r="N484" s="769">
        <f t="shared" si="523"/>
        <v>0</v>
      </c>
      <c r="O484" s="769">
        <f t="shared" si="523"/>
        <v>0</v>
      </c>
      <c r="P484" s="769">
        <f t="shared" si="523"/>
        <v>0</v>
      </c>
      <c r="Q484" s="769">
        <f t="shared" si="523"/>
        <v>0</v>
      </c>
      <c r="R484" s="769">
        <f t="shared" si="523"/>
        <v>0</v>
      </c>
      <c r="S484" s="769">
        <f t="shared" si="523"/>
        <v>5736</v>
      </c>
      <c r="T484" s="769">
        <f t="shared" si="523"/>
        <v>5736</v>
      </c>
      <c r="U484" s="769">
        <f t="shared" si="523"/>
        <v>0</v>
      </c>
      <c r="V484" s="769">
        <f t="shared" si="523"/>
        <v>0</v>
      </c>
      <c r="W484" s="769">
        <f t="shared" si="523"/>
        <v>5523</v>
      </c>
      <c r="X484" s="769">
        <f t="shared" si="523"/>
        <v>0</v>
      </c>
      <c r="Y484" s="769">
        <f t="shared" si="523"/>
        <v>0</v>
      </c>
      <c r="Z484" s="769">
        <f t="shared" si="523"/>
        <v>0</v>
      </c>
      <c r="AA484" s="769">
        <f t="shared" si="523"/>
        <v>0</v>
      </c>
      <c r="AB484" s="769">
        <f t="shared" si="523"/>
        <v>0</v>
      </c>
      <c r="AC484" s="769">
        <f t="shared" si="523"/>
        <v>0</v>
      </c>
      <c r="AD484" s="769">
        <f t="shared" si="523"/>
        <v>0</v>
      </c>
      <c r="AE484" s="769">
        <f t="shared" si="523"/>
        <v>0</v>
      </c>
      <c r="AF484" s="769">
        <f t="shared" si="523"/>
        <v>0</v>
      </c>
      <c r="AG484" s="769">
        <f t="shared" si="523"/>
        <v>0</v>
      </c>
      <c r="AH484" s="769">
        <f t="shared" si="523"/>
        <v>17827</v>
      </c>
      <c r="AI484" s="769">
        <f t="shared" si="523"/>
        <v>2780</v>
      </c>
      <c r="AJ484" s="769">
        <f t="shared" si="523"/>
        <v>0</v>
      </c>
      <c r="AK484" s="769">
        <f t="shared" si="523"/>
        <v>0</v>
      </c>
      <c r="AL484" s="769">
        <f t="shared" si="523"/>
        <v>2956</v>
      </c>
      <c r="AM484" s="769">
        <f t="shared" si="523"/>
        <v>2956</v>
      </c>
      <c r="AN484" s="769">
        <f t="shared" si="523"/>
        <v>0</v>
      </c>
      <c r="AO484" s="769">
        <f t="shared" si="523"/>
        <v>0</v>
      </c>
      <c r="AP484" s="769">
        <f t="shared" si="523"/>
        <v>2800</v>
      </c>
      <c r="AQ484" s="769">
        <f>AQ485</f>
        <v>2800</v>
      </c>
      <c r="AR484" s="769">
        <f t="shared" ref="AR484:AS484" si="524">AR485</f>
        <v>0</v>
      </c>
      <c r="AS484" s="769">
        <f t="shared" si="524"/>
        <v>0</v>
      </c>
      <c r="AT484" s="770">
        <f>(AQ481-AQ486)/20000*100</f>
        <v>86</v>
      </c>
      <c r="AU484" s="484"/>
      <c r="AV484" s="484"/>
      <c r="AW484" s="752"/>
      <c r="AX484" s="486"/>
      <c r="AY484" s="487"/>
      <c r="AZ484" s="487"/>
      <c r="BA484" s="487"/>
      <c r="BB484" s="753"/>
      <c r="BC484" s="753"/>
      <c r="BG484" s="488">
        <f t="shared" si="522"/>
        <v>156</v>
      </c>
    </row>
    <row r="485" spans="1:60" s="81" customFormat="1" ht="59.25" customHeight="1">
      <c r="A485" s="556" t="s">
        <v>35</v>
      </c>
      <c r="B485" s="557" t="s">
        <v>45</v>
      </c>
      <c r="C485" s="480"/>
      <c r="D485" s="480"/>
      <c r="E485" s="480"/>
      <c r="F485" s="480"/>
      <c r="G485" s="480"/>
      <c r="H485" s="750"/>
      <c r="I485" s="480"/>
      <c r="J485" s="494"/>
      <c r="K485" s="769">
        <f>K486</f>
        <v>22683</v>
      </c>
      <c r="L485" s="769">
        <f t="shared" si="523"/>
        <v>9683</v>
      </c>
      <c r="M485" s="769">
        <f t="shared" si="523"/>
        <v>0</v>
      </c>
      <c r="N485" s="769">
        <f t="shared" si="523"/>
        <v>0</v>
      </c>
      <c r="O485" s="769">
        <f t="shared" si="523"/>
        <v>0</v>
      </c>
      <c r="P485" s="769">
        <f t="shared" si="523"/>
        <v>0</v>
      </c>
      <c r="Q485" s="769">
        <f t="shared" si="523"/>
        <v>0</v>
      </c>
      <c r="R485" s="769">
        <f t="shared" si="523"/>
        <v>0</v>
      </c>
      <c r="S485" s="769">
        <f t="shared" si="523"/>
        <v>5736</v>
      </c>
      <c r="T485" s="769">
        <f t="shared" si="523"/>
        <v>5736</v>
      </c>
      <c r="U485" s="769">
        <f t="shared" si="523"/>
        <v>0</v>
      </c>
      <c r="V485" s="769">
        <f t="shared" si="523"/>
        <v>0</v>
      </c>
      <c r="W485" s="769">
        <f t="shared" si="523"/>
        <v>5523</v>
      </c>
      <c r="X485" s="769">
        <f t="shared" si="523"/>
        <v>0</v>
      </c>
      <c r="Y485" s="769">
        <f t="shared" si="523"/>
        <v>0</v>
      </c>
      <c r="Z485" s="769">
        <f t="shared" si="523"/>
        <v>0</v>
      </c>
      <c r="AA485" s="769">
        <f t="shared" si="523"/>
        <v>0</v>
      </c>
      <c r="AB485" s="769">
        <f t="shared" si="523"/>
        <v>0</v>
      </c>
      <c r="AC485" s="769">
        <f t="shared" si="523"/>
        <v>0</v>
      </c>
      <c r="AD485" s="769">
        <f t="shared" si="523"/>
        <v>0</v>
      </c>
      <c r="AE485" s="769">
        <f t="shared" si="523"/>
        <v>0</v>
      </c>
      <c r="AF485" s="769">
        <f t="shared" si="523"/>
        <v>0</v>
      </c>
      <c r="AG485" s="769">
        <f t="shared" si="523"/>
        <v>0</v>
      </c>
      <c r="AH485" s="769">
        <f t="shared" si="523"/>
        <v>17827</v>
      </c>
      <c r="AI485" s="769">
        <f t="shared" si="523"/>
        <v>2780</v>
      </c>
      <c r="AJ485" s="769"/>
      <c r="AK485" s="769"/>
      <c r="AL485" s="769">
        <f t="shared" si="523"/>
        <v>2956</v>
      </c>
      <c r="AM485" s="769">
        <f t="shared" si="523"/>
        <v>2956</v>
      </c>
      <c r="AN485" s="769">
        <f t="shared" si="523"/>
        <v>0</v>
      </c>
      <c r="AO485" s="769">
        <f t="shared" si="523"/>
        <v>0</v>
      </c>
      <c r="AP485" s="769">
        <f t="shared" si="523"/>
        <v>2800</v>
      </c>
      <c r="AQ485" s="769">
        <f t="shared" ref="AQ485:AS485" si="525">AQ486</f>
        <v>2800</v>
      </c>
      <c r="AR485" s="769">
        <f t="shared" si="525"/>
        <v>0</v>
      </c>
      <c r="AS485" s="769">
        <f t="shared" si="525"/>
        <v>0</v>
      </c>
      <c r="AT485" s="715"/>
      <c r="AU485" s="484"/>
      <c r="AV485" s="484"/>
      <c r="AW485" s="752"/>
      <c r="AX485" s="486"/>
      <c r="AY485" s="487"/>
      <c r="AZ485" s="487"/>
      <c r="BA485" s="487"/>
      <c r="BB485" s="753"/>
      <c r="BC485" s="753"/>
      <c r="BG485" s="488">
        <f t="shared" si="522"/>
        <v>156</v>
      </c>
    </row>
    <row r="486" spans="1:60" s="82" customFormat="1" ht="128.25" customHeight="1">
      <c r="A486" s="617" t="s">
        <v>37</v>
      </c>
      <c r="B486" s="771" t="s">
        <v>1096</v>
      </c>
      <c r="C486" s="494"/>
      <c r="D486" s="494"/>
      <c r="E486" s="494"/>
      <c r="F486" s="494"/>
      <c r="G486" s="494"/>
      <c r="H486" s="772"/>
      <c r="I486" s="494"/>
      <c r="J486" s="494" t="s">
        <v>764</v>
      </c>
      <c r="K486" s="768">
        <v>22683</v>
      </c>
      <c r="L486" s="768">
        <f>K486-13000</f>
        <v>9683</v>
      </c>
      <c r="M486" s="520"/>
      <c r="N486" s="520"/>
      <c r="O486" s="520"/>
      <c r="P486" s="520"/>
      <c r="Q486" s="496"/>
      <c r="R486" s="496"/>
      <c r="S486" s="520">
        <v>5736</v>
      </c>
      <c r="T486" s="520">
        <v>5736</v>
      </c>
      <c r="U486" s="520"/>
      <c r="V486" s="520"/>
      <c r="W486" s="520">
        <v>5523</v>
      </c>
      <c r="X486" s="520"/>
      <c r="Y486" s="520"/>
      <c r="Z486" s="520"/>
      <c r="AA486" s="520"/>
      <c r="AB486" s="520"/>
      <c r="AC486" s="520"/>
      <c r="AD486" s="520"/>
      <c r="AE486" s="520"/>
      <c r="AF486" s="520"/>
      <c r="AG486" s="520"/>
      <c r="AH486" s="496">
        <v>17827</v>
      </c>
      <c r="AI486" s="496">
        <v>2780</v>
      </c>
      <c r="AJ486" s="496"/>
      <c r="AK486" s="496"/>
      <c r="AL486" s="496">
        <v>2956</v>
      </c>
      <c r="AM486" s="496">
        <v>2956</v>
      </c>
      <c r="AN486" s="496"/>
      <c r="AO486" s="496"/>
      <c r="AP486" s="768">
        <f>AQ486</f>
        <v>2800</v>
      </c>
      <c r="AQ486" s="768">
        <v>2800</v>
      </c>
      <c r="AR486" s="520"/>
      <c r="AS486" s="520"/>
      <c r="AT486" s="553" t="s">
        <v>1059</v>
      </c>
      <c r="AU486" s="484"/>
      <c r="AV486" s="484"/>
      <c r="AW486" s="773"/>
      <c r="AX486" s="498"/>
      <c r="AY486" s="499"/>
      <c r="AZ486" s="499"/>
      <c r="BA486" s="499"/>
      <c r="BB486" s="774"/>
      <c r="BC486" s="774"/>
      <c r="BF486" s="775"/>
      <c r="BG486" s="488">
        <f t="shared" si="522"/>
        <v>156</v>
      </c>
    </row>
    <row r="487" spans="1:60" s="81" customFormat="1" ht="59.25" customHeight="1">
      <c r="A487" s="478" t="s">
        <v>46</v>
      </c>
      <c r="B487" s="539" t="s">
        <v>287</v>
      </c>
      <c r="C487" s="480"/>
      <c r="D487" s="480"/>
      <c r="E487" s="480"/>
      <c r="F487" s="480"/>
      <c r="G487" s="480"/>
      <c r="H487" s="750"/>
      <c r="I487" s="480"/>
      <c r="J487" s="480"/>
      <c r="K487" s="769">
        <f t="shared" ref="K487:AP488" si="526">K488</f>
        <v>47360</v>
      </c>
      <c r="L487" s="769">
        <f t="shared" si="526"/>
        <v>15360</v>
      </c>
      <c r="M487" s="769">
        <f t="shared" si="526"/>
        <v>0</v>
      </c>
      <c r="N487" s="769">
        <f t="shared" si="526"/>
        <v>0</v>
      </c>
      <c r="O487" s="769">
        <f t="shared" si="526"/>
        <v>0</v>
      </c>
      <c r="P487" s="769">
        <f t="shared" si="526"/>
        <v>0</v>
      </c>
      <c r="Q487" s="769">
        <f t="shared" si="526"/>
        <v>0</v>
      </c>
      <c r="R487" s="769">
        <f t="shared" si="526"/>
        <v>0</v>
      </c>
      <c r="S487" s="769">
        <f t="shared" si="526"/>
        <v>35360</v>
      </c>
      <c r="T487" s="769">
        <f t="shared" si="526"/>
        <v>15610</v>
      </c>
      <c r="U487" s="769">
        <f t="shared" si="526"/>
        <v>0</v>
      </c>
      <c r="V487" s="769">
        <f t="shared" si="526"/>
        <v>0</v>
      </c>
      <c r="W487" s="769">
        <f t="shared" si="526"/>
        <v>7311</v>
      </c>
      <c r="X487" s="769">
        <f t="shared" si="526"/>
        <v>0</v>
      </c>
      <c r="Y487" s="769">
        <f t="shared" si="526"/>
        <v>0</v>
      </c>
      <c r="Z487" s="769">
        <f t="shared" si="526"/>
        <v>0</v>
      </c>
      <c r="AA487" s="769">
        <f t="shared" si="526"/>
        <v>0</v>
      </c>
      <c r="AB487" s="769">
        <f t="shared" si="526"/>
        <v>0</v>
      </c>
      <c r="AC487" s="769">
        <f t="shared" si="526"/>
        <v>0</v>
      </c>
      <c r="AD487" s="769">
        <f t="shared" si="526"/>
        <v>0</v>
      </c>
      <c r="AE487" s="769">
        <f t="shared" si="526"/>
        <v>0</v>
      </c>
      <c r="AF487" s="769">
        <f t="shared" si="526"/>
        <v>0</v>
      </c>
      <c r="AG487" s="769">
        <f t="shared" si="526"/>
        <v>0</v>
      </c>
      <c r="AH487" s="769">
        <f t="shared" si="526"/>
        <v>39311</v>
      </c>
      <c r="AI487" s="769">
        <f t="shared" si="526"/>
        <v>7311</v>
      </c>
      <c r="AJ487" s="769">
        <f t="shared" si="526"/>
        <v>0</v>
      </c>
      <c r="AK487" s="769">
        <f t="shared" si="526"/>
        <v>0</v>
      </c>
      <c r="AL487" s="769">
        <f t="shared" si="526"/>
        <v>6513</v>
      </c>
      <c r="AM487" s="769">
        <f t="shared" si="526"/>
        <v>6513</v>
      </c>
      <c r="AN487" s="769">
        <f t="shared" si="526"/>
        <v>0</v>
      </c>
      <c r="AO487" s="769">
        <f t="shared" si="526"/>
        <v>0</v>
      </c>
      <c r="AP487" s="769">
        <f t="shared" si="526"/>
        <v>7200</v>
      </c>
      <c r="AQ487" s="769">
        <f>AQ488</f>
        <v>7200</v>
      </c>
      <c r="AR487" s="769">
        <f t="shared" ref="AR487:AS488" si="527">AR488</f>
        <v>0</v>
      </c>
      <c r="AS487" s="769">
        <f t="shared" si="527"/>
        <v>0</v>
      </c>
      <c r="AT487" s="715"/>
      <c r="AU487" s="484"/>
      <c r="AV487" s="484"/>
      <c r="AW487" s="752"/>
      <c r="AX487" s="486"/>
      <c r="AY487" s="487"/>
      <c r="AZ487" s="487"/>
      <c r="BA487" s="487"/>
      <c r="BB487" s="753"/>
      <c r="BC487" s="753"/>
      <c r="BF487" s="775"/>
      <c r="BG487" s="488">
        <f t="shared" si="522"/>
        <v>-687</v>
      </c>
    </row>
    <row r="488" spans="1:60" s="81" customFormat="1" ht="59.25" customHeight="1">
      <c r="A488" s="556" t="s">
        <v>35</v>
      </c>
      <c r="B488" s="557" t="s">
        <v>45</v>
      </c>
      <c r="C488" s="480"/>
      <c r="D488" s="480"/>
      <c r="E488" s="480"/>
      <c r="F488" s="480"/>
      <c r="G488" s="480"/>
      <c r="H488" s="750"/>
      <c r="I488" s="480"/>
      <c r="J488" s="480"/>
      <c r="K488" s="769">
        <f t="shared" si="526"/>
        <v>47360</v>
      </c>
      <c r="L488" s="769">
        <f t="shared" si="526"/>
        <v>15360</v>
      </c>
      <c r="M488" s="769">
        <f t="shared" si="526"/>
        <v>0</v>
      </c>
      <c r="N488" s="769">
        <f t="shared" si="526"/>
        <v>0</v>
      </c>
      <c r="O488" s="769">
        <f t="shared" si="526"/>
        <v>0</v>
      </c>
      <c r="P488" s="769">
        <f t="shared" si="526"/>
        <v>0</v>
      </c>
      <c r="Q488" s="769">
        <f t="shared" si="526"/>
        <v>0</v>
      </c>
      <c r="R488" s="769">
        <f t="shared" si="526"/>
        <v>0</v>
      </c>
      <c r="S488" s="769">
        <f t="shared" si="526"/>
        <v>35360</v>
      </c>
      <c r="T488" s="769">
        <f t="shared" si="526"/>
        <v>15610</v>
      </c>
      <c r="U488" s="769">
        <f t="shared" si="526"/>
        <v>0</v>
      </c>
      <c r="V488" s="769">
        <f t="shared" si="526"/>
        <v>0</v>
      </c>
      <c r="W488" s="769">
        <f t="shared" si="526"/>
        <v>7311</v>
      </c>
      <c r="X488" s="769">
        <f t="shared" si="526"/>
        <v>0</v>
      </c>
      <c r="Y488" s="769">
        <f t="shared" si="526"/>
        <v>0</v>
      </c>
      <c r="Z488" s="769">
        <f t="shared" si="526"/>
        <v>0</v>
      </c>
      <c r="AA488" s="769">
        <f t="shared" si="526"/>
        <v>0</v>
      </c>
      <c r="AB488" s="769">
        <f t="shared" si="526"/>
        <v>0</v>
      </c>
      <c r="AC488" s="769">
        <f t="shared" si="526"/>
        <v>0</v>
      </c>
      <c r="AD488" s="769">
        <f t="shared" si="526"/>
        <v>0</v>
      </c>
      <c r="AE488" s="769">
        <f t="shared" si="526"/>
        <v>0</v>
      </c>
      <c r="AF488" s="769">
        <f t="shared" si="526"/>
        <v>0</v>
      </c>
      <c r="AG488" s="769">
        <f t="shared" si="526"/>
        <v>0</v>
      </c>
      <c r="AH488" s="769">
        <f t="shared" si="526"/>
        <v>39311</v>
      </c>
      <c r="AI488" s="769">
        <f t="shared" si="526"/>
        <v>7311</v>
      </c>
      <c r="AJ488" s="769">
        <f t="shared" si="526"/>
        <v>0</v>
      </c>
      <c r="AK488" s="769">
        <f t="shared" si="526"/>
        <v>0</v>
      </c>
      <c r="AL488" s="769">
        <f t="shared" si="526"/>
        <v>6513</v>
      </c>
      <c r="AM488" s="769">
        <f t="shared" si="526"/>
        <v>6513</v>
      </c>
      <c r="AN488" s="769">
        <f t="shared" si="526"/>
        <v>0</v>
      </c>
      <c r="AO488" s="769">
        <f t="shared" si="526"/>
        <v>0</v>
      </c>
      <c r="AP488" s="769">
        <f t="shared" si="526"/>
        <v>7200</v>
      </c>
      <c r="AQ488" s="769">
        <f>AQ489</f>
        <v>7200</v>
      </c>
      <c r="AR488" s="769">
        <f t="shared" si="527"/>
        <v>0</v>
      </c>
      <c r="AS488" s="769">
        <f t="shared" si="527"/>
        <v>0</v>
      </c>
      <c r="AT488" s="715"/>
      <c r="AU488" s="484"/>
      <c r="AV488" s="484"/>
      <c r="AW488" s="752"/>
      <c r="AX488" s="486"/>
      <c r="AY488" s="487"/>
      <c r="AZ488" s="487"/>
      <c r="BA488" s="487"/>
      <c r="BB488" s="753"/>
      <c r="BC488" s="753"/>
      <c r="BF488" s="775"/>
      <c r="BG488" s="488">
        <f t="shared" si="522"/>
        <v>-687</v>
      </c>
    </row>
    <row r="489" spans="1:60" s="82" customFormat="1" ht="121.5" customHeight="1">
      <c r="A489" s="617" t="s">
        <v>37</v>
      </c>
      <c r="B489" s="771" t="s">
        <v>751</v>
      </c>
      <c r="C489" s="494"/>
      <c r="D489" s="494"/>
      <c r="E489" s="494"/>
      <c r="F489" s="494"/>
      <c r="G489" s="494"/>
      <c r="H489" s="772"/>
      <c r="I489" s="494"/>
      <c r="J489" s="494" t="s">
        <v>766</v>
      </c>
      <c r="K489" s="768">
        <v>47360</v>
      </c>
      <c r="L489" s="768">
        <f>K489-12000-20000</f>
        <v>15360</v>
      </c>
      <c r="M489" s="520"/>
      <c r="N489" s="520"/>
      <c r="O489" s="520"/>
      <c r="P489" s="520"/>
      <c r="Q489" s="496"/>
      <c r="R489" s="496"/>
      <c r="S489" s="520">
        <v>35360</v>
      </c>
      <c r="T489" s="520">
        <v>15610</v>
      </c>
      <c r="U489" s="520"/>
      <c r="V489" s="520"/>
      <c r="W489" s="520">
        <v>7311</v>
      </c>
      <c r="X489" s="520"/>
      <c r="Y489" s="520"/>
      <c r="Z489" s="520"/>
      <c r="AA489" s="520"/>
      <c r="AB489" s="520"/>
      <c r="AC489" s="520"/>
      <c r="AD489" s="520"/>
      <c r="AE489" s="520"/>
      <c r="AF489" s="520"/>
      <c r="AG489" s="520"/>
      <c r="AH489" s="496">
        <f>32000+AI489</f>
        <v>39311</v>
      </c>
      <c r="AI489" s="496">
        <v>7311</v>
      </c>
      <c r="AJ489" s="496"/>
      <c r="AK489" s="496"/>
      <c r="AL489" s="496">
        <v>6513</v>
      </c>
      <c r="AM489" s="496">
        <v>6513</v>
      </c>
      <c r="AN489" s="496"/>
      <c r="AO489" s="496"/>
      <c r="AP489" s="768">
        <f>AQ489</f>
        <v>7200</v>
      </c>
      <c r="AQ489" s="768">
        <v>7200</v>
      </c>
      <c r="AR489" s="520"/>
      <c r="AS489" s="520"/>
      <c r="AT489" s="553" t="s">
        <v>1097</v>
      </c>
      <c r="AU489" s="484"/>
      <c r="AV489" s="484"/>
      <c r="AW489" s="773"/>
      <c r="AX489" s="498"/>
      <c r="AY489" s="499"/>
      <c r="AZ489" s="499"/>
      <c r="BA489" s="499"/>
      <c r="BB489" s="774"/>
      <c r="BC489" s="774"/>
      <c r="BE489" s="82">
        <v>1</v>
      </c>
      <c r="BF489" s="775">
        <f>AQ489</f>
        <v>7200</v>
      </c>
      <c r="BG489" s="488">
        <f t="shared" si="522"/>
        <v>-687</v>
      </c>
      <c r="BH489" s="82">
        <f>AQ489</f>
        <v>7200</v>
      </c>
    </row>
    <row r="490" spans="1:60" s="81" customFormat="1" ht="59.25" customHeight="1">
      <c r="A490" s="478" t="s">
        <v>279</v>
      </c>
      <c r="B490" s="539" t="s">
        <v>288</v>
      </c>
      <c r="C490" s="480"/>
      <c r="D490" s="480"/>
      <c r="E490" s="480"/>
      <c r="F490" s="480"/>
      <c r="G490" s="480"/>
      <c r="H490" s="750"/>
      <c r="I490" s="480"/>
      <c r="J490" s="494"/>
      <c r="K490" s="769">
        <f t="shared" ref="K490:AS490" si="528">K491</f>
        <v>13900</v>
      </c>
      <c r="L490" s="769">
        <f t="shared" si="528"/>
        <v>13900</v>
      </c>
      <c r="M490" s="769">
        <f t="shared" si="528"/>
        <v>0</v>
      </c>
      <c r="N490" s="769">
        <f t="shared" si="528"/>
        <v>0</v>
      </c>
      <c r="O490" s="769">
        <f t="shared" si="528"/>
        <v>0</v>
      </c>
      <c r="P490" s="769">
        <f t="shared" si="528"/>
        <v>0</v>
      </c>
      <c r="Q490" s="769">
        <f t="shared" si="528"/>
        <v>0</v>
      </c>
      <c r="R490" s="769">
        <f t="shared" si="528"/>
        <v>0</v>
      </c>
      <c r="S490" s="769">
        <f t="shared" si="528"/>
        <v>12510</v>
      </c>
      <c r="T490" s="769">
        <f t="shared" si="528"/>
        <v>12510</v>
      </c>
      <c r="U490" s="769">
        <f t="shared" si="528"/>
        <v>0</v>
      </c>
      <c r="V490" s="769">
        <f t="shared" si="528"/>
        <v>0</v>
      </c>
      <c r="W490" s="769">
        <f t="shared" si="528"/>
        <v>260</v>
      </c>
      <c r="X490" s="769">
        <f t="shared" si="528"/>
        <v>0</v>
      </c>
      <c r="Y490" s="769">
        <f t="shared" si="528"/>
        <v>0</v>
      </c>
      <c r="Z490" s="769">
        <f t="shared" si="528"/>
        <v>0</v>
      </c>
      <c r="AA490" s="769">
        <f t="shared" si="528"/>
        <v>0</v>
      </c>
      <c r="AB490" s="769">
        <f t="shared" si="528"/>
        <v>0</v>
      </c>
      <c r="AC490" s="769">
        <f t="shared" si="528"/>
        <v>0</v>
      </c>
      <c r="AD490" s="769">
        <f t="shared" si="528"/>
        <v>0</v>
      </c>
      <c r="AE490" s="769">
        <f t="shared" si="528"/>
        <v>0</v>
      </c>
      <c r="AF490" s="769">
        <f t="shared" si="528"/>
        <v>0</v>
      </c>
      <c r="AG490" s="769">
        <f t="shared" si="528"/>
        <v>0</v>
      </c>
      <c r="AH490" s="769">
        <f t="shared" si="528"/>
        <v>6460</v>
      </c>
      <c r="AI490" s="769">
        <f t="shared" si="528"/>
        <v>6460</v>
      </c>
      <c r="AJ490" s="769">
        <f t="shared" si="528"/>
        <v>0</v>
      </c>
      <c r="AK490" s="769">
        <f t="shared" si="528"/>
        <v>0</v>
      </c>
      <c r="AL490" s="769">
        <f t="shared" si="528"/>
        <v>6050</v>
      </c>
      <c r="AM490" s="769">
        <f t="shared" si="528"/>
        <v>6050</v>
      </c>
      <c r="AN490" s="769">
        <f t="shared" si="528"/>
        <v>0</v>
      </c>
      <c r="AO490" s="769">
        <f t="shared" si="528"/>
        <v>0</v>
      </c>
      <c r="AP490" s="769">
        <f t="shared" si="528"/>
        <v>4800</v>
      </c>
      <c r="AQ490" s="769">
        <f t="shared" si="528"/>
        <v>4800</v>
      </c>
      <c r="AR490" s="769">
        <f t="shared" si="528"/>
        <v>0</v>
      </c>
      <c r="AS490" s="769">
        <f t="shared" si="528"/>
        <v>0</v>
      </c>
      <c r="AT490" s="715"/>
      <c r="AU490" s="484"/>
      <c r="AV490" s="484"/>
      <c r="AW490" s="752"/>
      <c r="AX490" s="486"/>
      <c r="AY490" s="487"/>
      <c r="AZ490" s="487"/>
      <c r="BA490" s="487"/>
      <c r="BB490" s="753"/>
      <c r="BC490" s="753"/>
      <c r="BF490" s="775"/>
      <c r="BG490" s="488">
        <f t="shared" si="522"/>
        <v>1250</v>
      </c>
    </row>
    <row r="491" spans="1:60" s="81" customFormat="1" ht="59.25" customHeight="1">
      <c r="A491" s="556" t="s">
        <v>35</v>
      </c>
      <c r="B491" s="557" t="s">
        <v>45</v>
      </c>
      <c r="C491" s="480"/>
      <c r="D491" s="480"/>
      <c r="E491" s="480"/>
      <c r="F491" s="480"/>
      <c r="G491" s="480"/>
      <c r="H491" s="750"/>
      <c r="I491" s="480"/>
      <c r="J491" s="494"/>
      <c r="K491" s="769">
        <f t="shared" ref="K491:AP491" si="529">SUM(K492:K493)</f>
        <v>13900</v>
      </c>
      <c r="L491" s="769">
        <f t="shared" si="529"/>
        <v>13900</v>
      </c>
      <c r="M491" s="769">
        <f t="shared" si="529"/>
        <v>0</v>
      </c>
      <c r="N491" s="769">
        <f t="shared" si="529"/>
        <v>0</v>
      </c>
      <c r="O491" s="769">
        <f t="shared" si="529"/>
        <v>0</v>
      </c>
      <c r="P491" s="769">
        <f t="shared" si="529"/>
        <v>0</v>
      </c>
      <c r="Q491" s="769">
        <f t="shared" si="529"/>
        <v>0</v>
      </c>
      <c r="R491" s="769">
        <f t="shared" si="529"/>
        <v>0</v>
      </c>
      <c r="S491" s="769">
        <f t="shared" si="529"/>
        <v>12510</v>
      </c>
      <c r="T491" s="769">
        <f t="shared" si="529"/>
        <v>12510</v>
      </c>
      <c r="U491" s="769">
        <f t="shared" si="529"/>
        <v>0</v>
      </c>
      <c r="V491" s="769">
        <f t="shared" si="529"/>
        <v>0</v>
      </c>
      <c r="W491" s="769">
        <f t="shared" si="529"/>
        <v>260</v>
      </c>
      <c r="X491" s="769">
        <f t="shared" si="529"/>
        <v>0</v>
      </c>
      <c r="Y491" s="769">
        <f t="shared" si="529"/>
        <v>0</v>
      </c>
      <c r="Z491" s="769">
        <f t="shared" si="529"/>
        <v>0</v>
      </c>
      <c r="AA491" s="769">
        <f t="shared" si="529"/>
        <v>0</v>
      </c>
      <c r="AB491" s="769">
        <f t="shared" si="529"/>
        <v>0</v>
      </c>
      <c r="AC491" s="769">
        <f t="shared" si="529"/>
        <v>0</v>
      </c>
      <c r="AD491" s="769">
        <f t="shared" si="529"/>
        <v>0</v>
      </c>
      <c r="AE491" s="769">
        <f t="shared" si="529"/>
        <v>0</v>
      </c>
      <c r="AF491" s="769">
        <f t="shared" si="529"/>
        <v>0</v>
      </c>
      <c r="AG491" s="769">
        <f t="shared" si="529"/>
        <v>0</v>
      </c>
      <c r="AH491" s="769">
        <f t="shared" si="529"/>
        <v>6460</v>
      </c>
      <c r="AI491" s="769">
        <f t="shared" si="529"/>
        <v>6460</v>
      </c>
      <c r="AJ491" s="769">
        <f t="shared" si="529"/>
        <v>0</v>
      </c>
      <c r="AK491" s="769">
        <f t="shared" si="529"/>
        <v>0</v>
      </c>
      <c r="AL491" s="769">
        <f t="shared" si="529"/>
        <v>6050</v>
      </c>
      <c r="AM491" s="769">
        <f t="shared" si="529"/>
        <v>6050</v>
      </c>
      <c r="AN491" s="769">
        <f t="shared" si="529"/>
        <v>0</v>
      </c>
      <c r="AO491" s="769">
        <f t="shared" si="529"/>
        <v>0</v>
      </c>
      <c r="AP491" s="769">
        <f t="shared" si="529"/>
        <v>4800</v>
      </c>
      <c r="AQ491" s="769">
        <f>SUM(AQ492:AQ493)</f>
        <v>4800</v>
      </c>
      <c r="AR491" s="769">
        <f t="shared" ref="AR491:AS491" si="530">SUM(AR492:AR493)</f>
        <v>0</v>
      </c>
      <c r="AS491" s="769">
        <f t="shared" si="530"/>
        <v>0</v>
      </c>
      <c r="AT491" s="770"/>
      <c r="AU491" s="484"/>
      <c r="AV491" s="484"/>
      <c r="AW491" s="752"/>
      <c r="AX491" s="486"/>
      <c r="AY491" s="487"/>
      <c r="AZ491" s="487"/>
      <c r="BA491" s="487"/>
      <c r="BB491" s="753"/>
      <c r="BC491" s="753"/>
      <c r="BF491" s="775"/>
      <c r="BG491" s="488">
        <f t="shared" si="522"/>
        <v>1250</v>
      </c>
    </row>
    <row r="492" spans="1:60" s="82" customFormat="1" ht="84" customHeight="1">
      <c r="A492" s="617" t="s">
        <v>37</v>
      </c>
      <c r="B492" s="599" t="s">
        <v>752</v>
      </c>
      <c r="C492" s="494"/>
      <c r="D492" s="494"/>
      <c r="E492" s="494"/>
      <c r="F492" s="494"/>
      <c r="G492" s="494"/>
      <c r="H492" s="772"/>
      <c r="I492" s="494"/>
      <c r="J492" s="494" t="s">
        <v>734</v>
      </c>
      <c r="K492" s="768">
        <v>4700</v>
      </c>
      <c r="L492" s="768">
        <v>4700</v>
      </c>
      <c r="M492" s="520"/>
      <c r="N492" s="520"/>
      <c r="O492" s="520"/>
      <c r="P492" s="520"/>
      <c r="Q492" s="496"/>
      <c r="R492" s="496"/>
      <c r="S492" s="520">
        <v>4230</v>
      </c>
      <c r="T492" s="520">
        <v>4230</v>
      </c>
      <c r="U492" s="520"/>
      <c r="V492" s="520"/>
      <c r="W492" s="520">
        <v>60</v>
      </c>
      <c r="X492" s="520"/>
      <c r="Y492" s="520"/>
      <c r="Z492" s="520"/>
      <c r="AA492" s="520"/>
      <c r="AB492" s="520"/>
      <c r="AC492" s="520"/>
      <c r="AD492" s="520"/>
      <c r="AE492" s="520"/>
      <c r="AF492" s="520"/>
      <c r="AG492" s="520"/>
      <c r="AH492" s="496">
        <v>1760</v>
      </c>
      <c r="AI492" s="496">
        <v>1760</v>
      </c>
      <c r="AJ492" s="496"/>
      <c r="AK492" s="496"/>
      <c r="AL492" s="496">
        <v>2470</v>
      </c>
      <c r="AM492" s="496">
        <v>2470</v>
      </c>
      <c r="AN492" s="496"/>
      <c r="AO492" s="496"/>
      <c r="AP492" s="768">
        <f>AQ492</f>
        <v>2050</v>
      </c>
      <c r="AQ492" s="768">
        <v>2050</v>
      </c>
      <c r="AR492" s="520"/>
      <c r="AS492" s="520"/>
      <c r="AT492" s="751" t="s">
        <v>1091</v>
      </c>
      <c r="AU492" s="484"/>
      <c r="AV492" s="484"/>
      <c r="AW492" s="773"/>
      <c r="AX492" s="498"/>
      <c r="AY492" s="499"/>
      <c r="AZ492" s="499"/>
      <c r="BA492" s="499"/>
      <c r="BB492" s="774"/>
      <c r="BC492" s="774"/>
      <c r="BF492" s="775"/>
      <c r="BG492" s="488">
        <f t="shared" si="522"/>
        <v>420</v>
      </c>
    </row>
    <row r="493" spans="1:60" s="82" customFormat="1" ht="84" customHeight="1">
      <c r="A493" s="617" t="s">
        <v>39</v>
      </c>
      <c r="B493" s="599" t="s">
        <v>753</v>
      </c>
      <c r="C493" s="494"/>
      <c r="D493" s="494"/>
      <c r="E493" s="494"/>
      <c r="F493" s="494"/>
      <c r="G493" s="494"/>
      <c r="H493" s="772"/>
      <c r="I493" s="494"/>
      <c r="J493" s="494" t="s">
        <v>1060</v>
      </c>
      <c r="K493" s="768">
        <v>9200</v>
      </c>
      <c r="L493" s="768">
        <v>9200</v>
      </c>
      <c r="M493" s="520"/>
      <c r="N493" s="520"/>
      <c r="O493" s="520"/>
      <c r="P493" s="520"/>
      <c r="Q493" s="496"/>
      <c r="R493" s="496"/>
      <c r="S493" s="520">
        <v>8280</v>
      </c>
      <c r="T493" s="520">
        <v>8280</v>
      </c>
      <c r="U493" s="520"/>
      <c r="V493" s="520"/>
      <c r="W493" s="520">
        <v>200</v>
      </c>
      <c r="X493" s="520"/>
      <c r="Y493" s="520"/>
      <c r="Z493" s="520"/>
      <c r="AA493" s="520"/>
      <c r="AB493" s="520"/>
      <c r="AC493" s="520"/>
      <c r="AD493" s="520"/>
      <c r="AE493" s="520"/>
      <c r="AF493" s="520"/>
      <c r="AG493" s="520"/>
      <c r="AH493" s="496">
        <v>4700</v>
      </c>
      <c r="AI493" s="496">
        <v>4700</v>
      </c>
      <c r="AJ493" s="496"/>
      <c r="AK493" s="496"/>
      <c r="AL493" s="496">
        <v>3580</v>
      </c>
      <c r="AM493" s="496">
        <v>3580</v>
      </c>
      <c r="AN493" s="496"/>
      <c r="AO493" s="496"/>
      <c r="AP493" s="768">
        <f>AQ493</f>
        <v>2750</v>
      </c>
      <c r="AQ493" s="768">
        <v>2750</v>
      </c>
      <c r="AR493" s="520"/>
      <c r="AS493" s="520"/>
      <c r="AT493" s="751" t="s">
        <v>1092</v>
      </c>
      <c r="AU493" s="484"/>
      <c r="AV493" s="484"/>
      <c r="AW493" s="773"/>
      <c r="AX493" s="498"/>
      <c r="AY493" s="499"/>
      <c r="AZ493" s="499"/>
      <c r="BA493" s="499"/>
      <c r="BB493" s="774"/>
      <c r="BC493" s="774"/>
      <c r="BE493" s="82">
        <v>1</v>
      </c>
      <c r="BF493" s="775">
        <f>AQ493</f>
        <v>2750</v>
      </c>
      <c r="BG493" s="488">
        <f t="shared" si="522"/>
        <v>830</v>
      </c>
      <c r="BH493" s="82">
        <f>AQ493</f>
        <v>2750</v>
      </c>
    </row>
    <row r="494" spans="1:60" s="81" customFormat="1" ht="59.25" customHeight="1">
      <c r="A494" s="478" t="s">
        <v>280</v>
      </c>
      <c r="B494" s="539" t="s">
        <v>289</v>
      </c>
      <c r="C494" s="480"/>
      <c r="D494" s="480"/>
      <c r="E494" s="480"/>
      <c r="F494" s="480"/>
      <c r="G494" s="480"/>
      <c r="H494" s="750"/>
      <c r="I494" s="480"/>
      <c r="J494" s="494"/>
      <c r="K494" s="769">
        <f t="shared" ref="K494:AP494" si="531">K495</f>
        <v>0</v>
      </c>
      <c r="L494" s="769">
        <f t="shared" si="531"/>
        <v>0</v>
      </c>
      <c r="M494" s="769">
        <f t="shared" si="531"/>
        <v>0</v>
      </c>
      <c r="N494" s="769">
        <f t="shared" si="531"/>
        <v>0</v>
      </c>
      <c r="O494" s="769">
        <f t="shared" si="531"/>
        <v>0</v>
      </c>
      <c r="P494" s="769">
        <f t="shared" si="531"/>
        <v>0</v>
      </c>
      <c r="Q494" s="769">
        <f t="shared" si="531"/>
        <v>0</v>
      </c>
      <c r="R494" s="769">
        <f t="shared" si="531"/>
        <v>0</v>
      </c>
      <c r="S494" s="769">
        <f t="shared" si="531"/>
        <v>29092</v>
      </c>
      <c r="T494" s="769">
        <f t="shared" si="531"/>
        <v>26092</v>
      </c>
      <c r="U494" s="769">
        <f t="shared" si="531"/>
        <v>0</v>
      </c>
      <c r="V494" s="769">
        <f t="shared" si="531"/>
        <v>0</v>
      </c>
      <c r="W494" s="769">
        <f t="shared" si="531"/>
        <v>0</v>
      </c>
      <c r="X494" s="769">
        <f t="shared" si="531"/>
        <v>0</v>
      </c>
      <c r="Y494" s="769">
        <f t="shared" si="531"/>
        <v>0</v>
      </c>
      <c r="Z494" s="769">
        <f t="shared" si="531"/>
        <v>0</v>
      </c>
      <c r="AA494" s="769">
        <f t="shared" si="531"/>
        <v>0</v>
      </c>
      <c r="AB494" s="769">
        <f t="shared" si="531"/>
        <v>0</v>
      </c>
      <c r="AC494" s="769">
        <f t="shared" si="531"/>
        <v>0</v>
      </c>
      <c r="AD494" s="769">
        <f t="shared" si="531"/>
        <v>0</v>
      </c>
      <c r="AE494" s="769">
        <f t="shared" si="531"/>
        <v>0</v>
      </c>
      <c r="AF494" s="769">
        <f t="shared" si="531"/>
        <v>0</v>
      </c>
      <c r="AG494" s="769">
        <f t="shared" si="531"/>
        <v>0</v>
      </c>
      <c r="AH494" s="769">
        <f t="shared" si="531"/>
        <v>150</v>
      </c>
      <c r="AI494" s="769">
        <f t="shared" si="531"/>
        <v>150</v>
      </c>
      <c r="AJ494" s="769">
        <f t="shared" si="531"/>
        <v>0</v>
      </c>
      <c r="AK494" s="769">
        <f t="shared" si="531"/>
        <v>0</v>
      </c>
      <c r="AL494" s="769">
        <f t="shared" si="531"/>
        <v>6371</v>
      </c>
      <c r="AM494" s="769">
        <f t="shared" si="531"/>
        <v>6371</v>
      </c>
      <c r="AN494" s="769">
        <f t="shared" si="531"/>
        <v>0</v>
      </c>
      <c r="AO494" s="769">
        <f t="shared" si="531"/>
        <v>0</v>
      </c>
      <c r="AP494" s="769">
        <f t="shared" si="531"/>
        <v>6270</v>
      </c>
      <c r="AQ494" s="769">
        <f>AQ495</f>
        <v>4770</v>
      </c>
      <c r="AR494" s="769">
        <f t="shared" ref="AR494:AS494" si="532">AR495</f>
        <v>0</v>
      </c>
      <c r="AS494" s="769">
        <f t="shared" si="532"/>
        <v>0</v>
      </c>
      <c r="AT494" s="715"/>
      <c r="AU494" s="484"/>
      <c r="AV494" s="484"/>
      <c r="AW494" s="752"/>
      <c r="AX494" s="486"/>
      <c r="AY494" s="487"/>
      <c r="AZ494" s="487"/>
      <c r="BA494" s="487"/>
      <c r="BB494" s="753"/>
      <c r="BC494" s="753"/>
      <c r="BF494" s="775"/>
      <c r="BG494" s="488">
        <f t="shared" si="522"/>
        <v>1601</v>
      </c>
    </row>
    <row r="495" spans="1:60" s="81" customFormat="1" ht="59.25" customHeight="1">
      <c r="A495" s="556" t="s">
        <v>35</v>
      </c>
      <c r="B495" s="557" t="s">
        <v>45</v>
      </c>
      <c r="C495" s="480"/>
      <c r="D495" s="480"/>
      <c r="E495" s="480"/>
      <c r="F495" s="480"/>
      <c r="G495" s="480"/>
      <c r="H495" s="750"/>
      <c r="I495" s="480"/>
      <c r="J495" s="494"/>
      <c r="K495" s="769">
        <f t="shared" ref="K495:AP495" si="533">SUM(K496:K499)</f>
        <v>0</v>
      </c>
      <c r="L495" s="769">
        <f t="shared" si="533"/>
        <v>0</v>
      </c>
      <c r="M495" s="769">
        <f t="shared" si="533"/>
        <v>0</v>
      </c>
      <c r="N495" s="769">
        <f t="shared" si="533"/>
        <v>0</v>
      </c>
      <c r="O495" s="769">
        <f t="shared" si="533"/>
        <v>0</v>
      </c>
      <c r="P495" s="769">
        <f t="shared" si="533"/>
        <v>0</v>
      </c>
      <c r="Q495" s="769">
        <f t="shared" si="533"/>
        <v>0</v>
      </c>
      <c r="R495" s="769">
        <f t="shared" si="533"/>
        <v>0</v>
      </c>
      <c r="S495" s="769">
        <f t="shared" si="533"/>
        <v>29092</v>
      </c>
      <c r="T495" s="769">
        <f t="shared" si="533"/>
        <v>26092</v>
      </c>
      <c r="U495" s="769">
        <f t="shared" si="533"/>
        <v>0</v>
      </c>
      <c r="V495" s="769">
        <f t="shared" si="533"/>
        <v>0</v>
      </c>
      <c r="W495" s="769">
        <f t="shared" si="533"/>
        <v>0</v>
      </c>
      <c r="X495" s="769">
        <f t="shared" si="533"/>
        <v>0</v>
      </c>
      <c r="Y495" s="769">
        <f t="shared" si="533"/>
        <v>0</v>
      </c>
      <c r="Z495" s="769">
        <f t="shared" si="533"/>
        <v>0</v>
      </c>
      <c r="AA495" s="769">
        <f t="shared" si="533"/>
        <v>0</v>
      </c>
      <c r="AB495" s="769">
        <f t="shared" si="533"/>
        <v>0</v>
      </c>
      <c r="AC495" s="769">
        <f t="shared" si="533"/>
        <v>0</v>
      </c>
      <c r="AD495" s="769">
        <f t="shared" si="533"/>
        <v>0</v>
      </c>
      <c r="AE495" s="769">
        <f t="shared" si="533"/>
        <v>0</v>
      </c>
      <c r="AF495" s="769">
        <f t="shared" si="533"/>
        <v>0</v>
      </c>
      <c r="AG495" s="769">
        <f t="shared" si="533"/>
        <v>0</v>
      </c>
      <c r="AH495" s="769">
        <f t="shared" si="533"/>
        <v>150</v>
      </c>
      <c r="AI495" s="769">
        <f t="shared" si="533"/>
        <v>150</v>
      </c>
      <c r="AJ495" s="769">
        <f t="shared" si="533"/>
        <v>0</v>
      </c>
      <c r="AK495" s="769">
        <f t="shared" si="533"/>
        <v>0</v>
      </c>
      <c r="AL495" s="769">
        <f t="shared" si="533"/>
        <v>6371</v>
      </c>
      <c r="AM495" s="769">
        <f t="shared" si="533"/>
        <v>6371</v>
      </c>
      <c r="AN495" s="769">
        <f t="shared" si="533"/>
        <v>0</v>
      </c>
      <c r="AO495" s="769">
        <f t="shared" si="533"/>
        <v>0</v>
      </c>
      <c r="AP495" s="769">
        <f t="shared" si="533"/>
        <v>6270</v>
      </c>
      <c r="AQ495" s="769">
        <f>SUM(AQ496:AQ499)</f>
        <v>4770</v>
      </c>
      <c r="AR495" s="769">
        <f>SUM(AR496:AR497)</f>
        <v>0</v>
      </c>
      <c r="AS495" s="769">
        <f>SUM(AS496:AS497)</f>
        <v>0</v>
      </c>
      <c r="AT495" s="715"/>
      <c r="AU495" s="484"/>
      <c r="AV495" s="484"/>
      <c r="AW495" s="752"/>
      <c r="AX495" s="486"/>
      <c r="AY495" s="487"/>
      <c r="AZ495" s="487"/>
      <c r="BA495" s="487"/>
      <c r="BB495" s="753"/>
      <c r="BC495" s="753"/>
      <c r="BF495" s="775"/>
      <c r="BG495" s="488">
        <f t="shared" si="522"/>
        <v>1601</v>
      </c>
    </row>
    <row r="496" spans="1:60" s="82" customFormat="1" ht="63.75" customHeight="1">
      <c r="A496" s="617" t="s">
        <v>37</v>
      </c>
      <c r="B496" s="599" t="s">
        <v>754</v>
      </c>
      <c r="C496" s="494"/>
      <c r="D496" s="494"/>
      <c r="E496" s="494"/>
      <c r="F496" s="494"/>
      <c r="G496" s="494"/>
      <c r="H496" s="772"/>
      <c r="I496" s="494"/>
      <c r="J496" s="776" t="s">
        <v>1061</v>
      </c>
      <c r="K496" s="768"/>
      <c r="L496" s="768"/>
      <c r="M496" s="520"/>
      <c r="N496" s="520"/>
      <c r="O496" s="520"/>
      <c r="P496" s="520"/>
      <c r="Q496" s="496"/>
      <c r="R496" s="496"/>
      <c r="S496" s="520">
        <v>5000</v>
      </c>
      <c r="T496" s="520">
        <v>5000</v>
      </c>
      <c r="U496" s="520"/>
      <c r="V496" s="520"/>
      <c r="W496" s="520"/>
      <c r="X496" s="520"/>
      <c r="Y496" s="520"/>
      <c r="Z496" s="520"/>
      <c r="AA496" s="520"/>
      <c r="AB496" s="520"/>
      <c r="AC496" s="520"/>
      <c r="AD496" s="520"/>
      <c r="AE496" s="520"/>
      <c r="AF496" s="520"/>
      <c r="AG496" s="520"/>
      <c r="AH496" s="496">
        <v>50</v>
      </c>
      <c r="AI496" s="496">
        <v>50</v>
      </c>
      <c r="AJ496" s="496"/>
      <c r="AK496" s="496"/>
      <c r="AL496" s="496">
        <v>2100</v>
      </c>
      <c r="AM496" s="496">
        <v>2100</v>
      </c>
      <c r="AN496" s="496"/>
      <c r="AO496" s="496"/>
      <c r="AP496" s="768">
        <f>AQ496</f>
        <v>1000</v>
      </c>
      <c r="AQ496" s="777">
        <v>1000</v>
      </c>
      <c r="AR496" s="520"/>
      <c r="AS496" s="520"/>
      <c r="AT496" s="829" t="s">
        <v>1093</v>
      </c>
      <c r="AU496" s="484"/>
      <c r="AV496" s="484"/>
      <c r="AW496" s="773"/>
      <c r="AX496" s="498"/>
      <c r="AY496" s="499"/>
      <c r="AZ496" s="499"/>
      <c r="BA496" s="499"/>
      <c r="BB496" s="774"/>
      <c r="BC496" s="774"/>
      <c r="BF496" s="775"/>
      <c r="BG496" s="488">
        <f t="shared" si="522"/>
        <v>1100</v>
      </c>
    </row>
    <row r="497" spans="1:60" s="82" customFormat="1" ht="63.75" customHeight="1">
      <c r="A497" s="617" t="s">
        <v>39</v>
      </c>
      <c r="B497" s="599" t="s">
        <v>756</v>
      </c>
      <c r="C497" s="494"/>
      <c r="D497" s="494"/>
      <c r="E497" s="494"/>
      <c r="F497" s="494"/>
      <c r="G497" s="494"/>
      <c r="H497" s="772"/>
      <c r="I497" s="494"/>
      <c r="J497" s="776" t="s">
        <v>1062</v>
      </c>
      <c r="K497" s="768"/>
      <c r="L497" s="768"/>
      <c r="M497" s="520"/>
      <c r="N497" s="520"/>
      <c r="O497" s="520"/>
      <c r="P497" s="520"/>
      <c r="Q497" s="496"/>
      <c r="R497" s="496"/>
      <c r="S497" s="520">
        <v>4500</v>
      </c>
      <c r="T497" s="520">
        <v>4500</v>
      </c>
      <c r="U497" s="520"/>
      <c r="V497" s="520"/>
      <c r="W497" s="520"/>
      <c r="X497" s="520"/>
      <c r="Y497" s="520"/>
      <c r="Z497" s="520"/>
      <c r="AA497" s="520"/>
      <c r="AB497" s="520"/>
      <c r="AC497" s="520"/>
      <c r="AD497" s="520"/>
      <c r="AE497" s="520"/>
      <c r="AF497" s="520"/>
      <c r="AG497" s="520"/>
      <c r="AH497" s="496">
        <v>50</v>
      </c>
      <c r="AI497" s="496">
        <v>50</v>
      </c>
      <c r="AJ497" s="496"/>
      <c r="AK497" s="496"/>
      <c r="AL497" s="496">
        <v>1871</v>
      </c>
      <c r="AM497" s="496">
        <v>1871</v>
      </c>
      <c r="AN497" s="496"/>
      <c r="AO497" s="496"/>
      <c r="AP497" s="768">
        <f t="shared" ref="AP497" si="534">AQ497</f>
        <v>1000</v>
      </c>
      <c r="AQ497" s="777">
        <v>1000</v>
      </c>
      <c r="AR497" s="520"/>
      <c r="AS497" s="520"/>
      <c r="AT497" s="829"/>
      <c r="AU497" s="484"/>
      <c r="AV497" s="484"/>
      <c r="AW497" s="773"/>
      <c r="AX497" s="498"/>
      <c r="AY497" s="499"/>
      <c r="AZ497" s="499"/>
      <c r="BA497" s="499"/>
      <c r="BB497" s="774"/>
      <c r="BC497" s="774"/>
      <c r="BF497" s="775"/>
      <c r="BG497" s="488">
        <f t="shared" si="522"/>
        <v>871</v>
      </c>
    </row>
    <row r="498" spans="1:60" s="82" customFormat="1" ht="63.75" customHeight="1">
      <c r="A498" s="617" t="s">
        <v>77</v>
      </c>
      <c r="B498" s="599" t="s">
        <v>755</v>
      </c>
      <c r="C498" s="494"/>
      <c r="D498" s="494"/>
      <c r="E498" s="494"/>
      <c r="F498" s="494"/>
      <c r="G498" s="494"/>
      <c r="H498" s="772"/>
      <c r="I498" s="494"/>
      <c r="J498" s="776" t="s">
        <v>1063</v>
      </c>
      <c r="K498" s="768"/>
      <c r="L498" s="768"/>
      <c r="M498" s="520"/>
      <c r="N498" s="520"/>
      <c r="O498" s="520"/>
      <c r="P498" s="520"/>
      <c r="Q498" s="496"/>
      <c r="R498" s="496"/>
      <c r="S498" s="520">
        <v>5000</v>
      </c>
      <c r="T498" s="520">
        <v>5000</v>
      </c>
      <c r="U498" s="520"/>
      <c r="V498" s="520"/>
      <c r="W498" s="520"/>
      <c r="X498" s="520"/>
      <c r="Y498" s="520"/>
      <c r="Z498" s="520"/>
      <c r="AA498" s="520"/>
      <c r="AB498" s="520"/>
      <c r="AC498" s="520"/>
      <c r="AD498" s="520"/>
      <c r="AE498" s="520"/>
      <c r="AF498" s="520"/>
      <c r="AG498" s="520"/>
      <c r="AH498" s="496">
        <v>50</v>
      </c>
      <c r="AI498" s="496">
        <v>50</v>
      </c>
      <c r="AJ498" s="496"/>
      <c r="AK498" s="496"/>
      <c r="AL498" s="496">
        <v>2100</v>
      </c>
      <c r="AM498" s="496">
        <v>2100</v>
      </c>
      <c r="AN498" s="496"/>
      <c r="AO498" s="496"/>
      <c r="AP498" s="768">
        <f>AQ498</f>
        <v>1000</v>
      </c>
      <c r="AQ498" s="777">
        <v>1000</v>
      </c>
      <c r="AR498" s="520"/>
      <c r="AS498" s="520"/>
      <c r="AT498" s="829"/>
      <c r="AU498" s="484"/>
      <c r="AV498" s="484"/>
      <c r="AW498" s="773"/>
      <c r="AX498" s="498"/>
      <c r="AY498" s="499"/>
      <c r="AZ498" s="499"/>
      <c r="BA498" s="499"/>
      <c r="BB498" s="774"/>
      <c r="BC498" s="774"/>
      <c r="BF498" s="775"/>
      <c r="BG498" s="488">
        <f t="shared" si="522"/>
        <v>1100</v>
      </c>
    </row>
    <row r="499" spans="1:60" s="82" customFormat="1" ht="64.5" customHeight="1">
      <c r="A499" s="617" t="s">
        <v>79</v>
      </c>
      <c r="B499" s="608" t="s">
        <v>735</v>
      </c>
      <c r="C499" s="494"/>
      <c r="D499" s="494"/>
      <c r="E499" s="494"/>
      <c r="F499" s="494"/>
      <c r="G499" s="494"/>
      <c r="H499" s="772"/>
      <c r="I499" s="494"/>
      <c r="J499" s="776" t="s">
        <v>1047</v>
      </c>
      <c r="K499" s="768"/>
      <c r="L499" s="768"/>
      <c r="M499" s="520"/>
      <c r="N499" s="520"/>
      <c r="O499" s="520"/>
      <c r="P499" s="520"/>
      <c r="Q499" s="496"/>
      <c r="R499" s="496"/>
      <c r="S499" s="520">
        <v>14592</v>
      </c>
      <c r="T499" s="520">
        <v>11592</v>
      </c>
      <c r="U499" s="520"/>
      <c r="V499" s="520"/>
      <c r="W499" s="520"/>
      <c r="X499" s="520"/>
      <c r="Y499" s="520"/>
      <c r="Z499" s="520"/>
      <c r="AA499" s="520"/>
      <c r="AB499" s="520"/>
      <c r="AC499" s="520"/>
      <c r="AD499" s="520"/>
      <c r="AE499" s="520"/>
      <c r="AF499" s="520"/>
      <c r="AG499" s="520"/>
      <c r="AH499" s="496"/>
      <c r="AI499" s="496"/>
      <c r="AJ499" s="496"/>
      <c r="AK499" s="496"/>
      <c r="AL499" s="496">
        <v>300</v>
      </c>
      <c r="AM499" s="496">
        <v>300</v>
      </c>
      <c r="AN499" s="496"/>
      <c r="AO499" s="496"/>
      <c r="AP499" s="768">
        <f>1500+AQ499</f>
        <v>3270</v>
      </c>
      <c r="AQ499" s="777">
        <v>1770</v>
      </c>
      <c r="AR499" s="520"/>
      <c r="AS499" s="520"/>
      <c r="AT499" s="804"/>
      <c r="AU499" s="484"/>
      <c r="AV499" s="484"/>
      <c r="AW499" s="773"/>
      <c r="AX499" s="498"/>
      <c r="AY499" s="499"/>
      <c r="AZ499" s="499"/>
      <c r="BA499" s="499"/>
      <c r="BB499" s="774"/>
      <c r="BC499" s="774"/>
      <c r="BE499" s="82">
        <v>1</v>
      </c>
      <c r="BF499" s="775">
        <f>AQ499</f>
        <v>1770</v>
      </c>
      <c r="BG499" s="488">
        <f t="shared" si="522"/>
        <v>-1470</v>
      </c>
      <c r="BH499" s="82">
        <f>AQ499</f>
        <v>1770</v>
      </c>
    </row>
    <row r="500" spans="1:60" s="81" customFormat="1" ht="59.25" customHeight="1">
      <c r="A500" s="478" t="s">
        <v>757</v>
      </c>
      <c r="B500" s="539" t="s">
        <v>758</v>
      </c>
      <c r="C500" s="480"/>
      <c r="D500" s="480"/>
      <c r="E500" s="480"/>
      <c r="F500" s="480"/>
      <c r="G500" s="480"/>
      <c r="H500" s="750"/>
      <c r="I500" s="480"/>
      <c r="J500" s="480"/>
      <c r="K500" s="769">
        <f t="shared" ref="K500:AP500" si="535">K501</f>
        <v>0</v>
      </c>
      <c r="L500" s="769">
        <f t="shared" si="535"/>
        <v>0</v>
      </c>
      <c r="M500" s="769">
        <f t="shared" si="535"/>
        <v>0</v>
      </c>
      <c r="N500" s="769">
        <f t="shared" si="535"/>
        <v>0</v>
      </c>
      <c r="O500" s="769">
        <f t="shared" si="535"/>
        <v>0</v>
      </c>
      <c r="P500" s="769">
        <f t="shared" si="535"/>
        <v>0</v>
      </c>
      <c r="Q500" s="769">
        <f t="shared" si="535"/>
        <v>0</v>
      </c>
      <c r="R500" s="769">
        <f t="shared" si="535"/>
        <v>0</v>
      </c>
      <c r="S500" s="769">
        <f t="shared" si="535"/>
        <v>35300</v>
      </c>
      <c r="T500" s="769">
        <f t="shared" si="535"/>
        <v>35300</v>
      </c>
      <c r="U500" s="769">
        <f t="shared" si="535"/>
        <v>0</v>
      </c>
      <c r="V500" s="769">
        <f t="shared" si="535"/>
        <v>0</v>
      </c>
      <c r="W500" s="769">
        <f t="shared" si="535"/>
        <v>0</v>
      </c>
      <c r="X500" s="769">
        <f t="shared" si="535"/>
        <v>0</v>
      </c>
      <c r="Y500" s="769">
        <f t="shared" si="535"/>
        <v>0</v>
      </c>
      <c r="Z500" s="769">
        <f t="shared" si="535"/>
        <v>0</v>
      </c>
      <c r="AA500" s="769">
        <f t="shared" si="535"/>
        <v>0</v>
      </c>
      <c r="AB500" s="769">
        <f t="shared" si="535"/>
        <v>0</v>
      </c>
      <c r="AC500" s="769">
        <f t="shared" si="535"/>
        <v>0</v>
      </c>
      <c r="AD500" s="769">
        <f t="shared" si="535"/>
        <v>0</v>
      </c>
      <c r="AE500" s="769">
        <f t="shared" si="535"/>
        <v>0</v>
      </c>
      <c r="AF500" s="769">
        <f t="shared" si="535"/>
        <v>0</v>
      </c>
      <c r="AG500" s="769">
        <f t="shared" si="535"/>
        <v>0</v>
      </c>
      <c r="AH500" s="769">
        <f t="shared" si="535"/>
        <v>0</v>
      </c>
      <c r="AI500" s="769">
        <f t="shared" si="535"/>
        <v>0</v>
      </c>
      <c r="AJ500" s="769">
        <f t="shared" si="535"/>
        <v>0</v>
      </c>
      <c r="AK500" s="769">
        <f t="shared" si="535"/>
        <v>0</v>
      </c>
      <c r="AL500" s="769">
        <f t="shared" si="535"/>
        <v>810</v>
      </c>
      <c r="AM500" s="769">
        <f t="shared" si="535"/>
        <v>810</v>
      </c>
      <c r="AN500" s="769">
        <f t="shared" si="535"/>
        <v>0</v>
      </c>
      <c r="AO500" s="769">
        <f t="shared" si="535"/>
        <v>0</v>
      </c>
      <c r="AP500" s="769">
        <f t="shared" si="535"/>
        <v>430</v>
      </c>
      <c r="AQ500" s="769">
        <f>AQ501</f>
        <v>430</v>
      </c>
      <c r="AR500" s="769">
        <f t="shared" ref="AR500:AS500" si="536">AR501</f>
        <v>0</v>
      </c>
      <c r="AS500" s="769">
        <f t="shared" si="536"/>
        <v>0</v>
      </c>
      <c r="AT500" s="715"/>
      <c r="AU500" s="484"/>
      <c r="AV500" s="484"/>
      <c r="AW500" s="752"/>
      <c r="AX500" s="486"/>
      <c r="AY500" s="487"/>
      <c r="AZ500" s="487"/>
      <c r="BA500" s="487"/>
      <c r="BB500" s="753"/>
      <c r="BC500" s="753"/>
      <c r="BF500" s="775"/>
      <c r="BG500" s="488">
        <f t="shared" si="522"/>
        <v>380</v>
      </c>
    </row>
    <row r="501" spans="1:60" s="81" customFormat="1" ht="59.25" customHeight="1">
      <c r="A501" s="556" t="s">
        <v>35</v>
      </c>
      <c r="B501" s="557" t="s">
        <v>45</v>
      </c>
      <c r="C501" s="480"/>
      <c r="D501" s="480"/>
      <c r="E501" s="480"/>
      <c r="F501" s="480"/>
      <c r="G501" s="480"/>
      <c r="H501" s="750"/>
      <c r="I501" s="480"/>
      <c r="J501" s="480"/>
      <c r="K501" s="769">
        <f t="shared" ref="K501:AS501" si="537">SUM(K502:K506)</f>
        <v>0</v>
      </c>
      <c r="L501" s="769">
        <f t="shared" si="537"/>
        <v>0</v>
      </c>
      <c r="M501" s="769">
        <f t="shared" si="537"/>
        <v>0</v>
      </c>
      <c r="N501" s="769">
        <f t="shared" si="537"/>
        <v>0</v>
      </c>
      <c r="O501" s="769">
        <f t="shared" si="537"/>
        <v>0</v>
      </c>
      <c r="P501" s="769">
        <f t="shared" si="537"/>
        <v>0</v>
      </c>
      <c r="Q501" s="769">
        <f t="shared" si="537"/>
        <v>0</v>
      </c>
      <c r="R501" s="769">
        <f t="shared" si="537"/>
        <v>0</v>
      </c>
      <c r="S501" s="769">
        <f t="shared" si="537"/>
        <v>35300</v>
      </c>
      <c r="T501" s="769">
        <f t="shared" si="537"/>
        <v>35300</v>
      </c>
      <c r="U501" s="769">
        <f t="shared" si="537"/>
        <v>0</v>
      </c>
      <c r="V501" s="769">
        <f t="shared" si="537"/>
        <v>0</v>
      </c>
      <c r="W501" s="769">
        <f t="shared" si="537"/>
        <v>0</v>
      </c>
      <c r="X501" s="769">
        <f t="shared" si="537"/>
        <v>0</v>
      </c>
      <c r="Y501" s="769">
        <f t="shared" si="537"/>
        <v>0</v>
      </c>
      <c r="Z501" s="769">
        <f t="shared" si="537"/>
        <v>0</v>
      </c>
      <c r="AA501" s="769">
        <f t="shared" si="537"/>
        <v>0</v>
      </c>
      <c r="AB501" s="769">
        <f t="shared" si="537"/>
        <v>0</v>
      </c>
      <c r="AC501" s="769">
        <f t="shared" si="537"/>
        <v>0</v>
      </c>
      <c r="AD501" s="769">
        <f t="shared" si="537"/>
        <v>0</v>
      </c>
      <c r="AE501" s="769">
        <f t="shared" si="537"/>
        <v>0</v>
      </c>
      <c r="AF501" s="769">
        <f t="shared" si="537"/>
        <v>0</v>
      </c>
      <c r="AG501" s="769">
        <f t="shared" si="537"/>
        <v>0</v>
      </c>
      <c r="AH501" s="769">
        <f t="shared" si="537"/>
        <v>0</v>
      </c>
      <c r="AI501" s="769">
        <f t="shared" si="537"/>
        <v>0</v>
      </c>
      <c r="AJ501" s="769">
        <f t="shared" si="537"/>
        <v>0</v>
      </c>
      <c r="AK501" s="769">
        <f t="shared" si="537"/>
        <v>0</v>
      </c>
      <c r="AL501" s="769">
        <f t="shared" si="537"/>
        <v>810</v>
      </c>
      <c r="AM501" s="769">
        <f t="shared" si="537"/>
        <v>810</v>
      </c>
      <c r="AN501" s="769">
        <f t="shared" si="537"/>
        <v>0</v>
      </c>
      <c r="AO501" s="769">
        <f t="shared" si="537"/>
        <v>0</v>
      </c>
      <c r="AP501" s="769">
        <f t="shared" si="537"/>
        <v>430</v>
      </c>
      <c r="AQ501" s="769">
        <f t="shared" si="537"/>
        <v>430</v>
      </c>
      <c r="AR501" s="769">
        <f t="shared" si="537"/>
        <v>0</v>
      </c>
      <c r="AS501" s="769">
        <f t="shared" si="537"/>
        <v>0</v>
      </c>
      <c r="AT501" s="715"/>
      <c r="AU501" s="484"/>
      <c r="AV501" s="484"/>
      <c r="AW501" s="752"/>
      <c r="AX501" s="486"/>
      <c r="AY501" s="487"/>
      <c r="AZ501" s="487"/>
      <c r="BA501" s="487"/>
      <c r="BB501" s="753"/>
      <c r="BC501" s="753"/>
      <c r="BF501" s="775"/>
      <c r="BG501" s="488">
        <f t="shared" si="522"/>
        <v>380</v>
      </c>
    </row>
    <row r="502" spans="1:60" s="82" customFormat="1" ht="59.25" customHeight="1">
      <c r="A502" s="617" t="s">
        <v>37</v>
      </c>
      <c r="B502" s="599" t="s">
        <v>759</v>
      </c>
      <c r="C502" s="494"/>
      <c r="D502" s="494"/>
      <c r="E502" s="494"/>
      <c r="F502" s="494"/>
      <c r="G502" s="494"/>
      <c r="H502" s="772"/>
      <c r="I502" s="494"/>
      <c r="J502" s="494"/>
      <c r="K502" s="768"/>
      <c r="L502" s="768"/>
      <c r="M502" s="520"/>
      <c r="N502" s="520"/>
      <c r="O502" s="520"/>
      <c r="P502" s="520"/>
      <c r="Q502" s="496"/>
      <c r="R502" s="496"/>
      <c r="S502" s="520">
        <v>4800</v>
      </c>
      <c r="T502" s="520">
        <v>4800</v>
      </c>
      <c r="U502" s="520"/>
      <c r="V502" s="520"/>
      <c r="W502" s="520"/>
      <c r="X502" s="520"/>
      <c r="Y502" s="520"/>
      <c r="Z502" s="520"/>
      <c r="AA502" s="520"/>
      <c r="AB502" s="520"/>
      <c r="AC502" s="520"/>
      <c r="AD502" s="520"/>
      <c r="AE502" s="520"/>
      <c r="AF502" s="520"/>
      <c r="AG502" s="520"/>
      <c r="AH502" s="496"/>
      <c r="AI502" s="496"/>
      <c r="AJ502" s="496"/>
      <c r="AK502" s="496"/>
      <c r="AL502" s="496">
        <v>100</v>
      </c>
      <c r="AM502" s="496">
        <v>100</v>
      </c>
      <c r="AN502" s="496"/>
      <c r="AO502" s="496"/>
      <c r="AP502" s="768">
        <f t="shared" ref="AP502:AP506" si="538">AQ502</f>
        <v>50</v>
      </c>
      <c r="AQ502" s="768">
        <v>50</v>
      </c>
      <c r="AR502" s="520"/>
      <c r="AS502" s="520"/>
      <c r="AT502" s="790"/>
      <c r="AU502" s="484"/>
      <c r="AV502" s="484"/>
      <c r="AW502" s="773"/>
      <c r="AX502" s="498"/>
      <c r="AY502" s="499"/>
      <c r="AZ502" s="499"/>
      <c r="BA502" s="499"/>
      <c r="BB502" s="774"/>
      <c r="BC502" s="774"/>
      <c r="BF502" s="775"/>
      <c r="BG502" s="488">
        <f t="shared" si="522"/>
        <v>50</v>
      </c>
    </row>
    <row r="503" spans="1:60" s="82" customFormat="1" ht="59.25" customHeight="1">
      <c r="A503" s="617" t="s">
        <v>39</v>
      </c>
      <c r="B503" s="599" t="s">
        <v>762</v>
      </c>
      <c r="C503" s="494"/>
      <c r="D503" s="494"/>
      <c r="E503" s="494"/>
      <c r="F503" s="494"/>
      <c r="G503" s="494"/>
      <c r="H503" s="772"/>
      <c r="I503" s="494"/>
      <c r="J503" s="494"/>
      <c r="K503" s="768"/>
      <c r="L503" s="768"/>
      <c r="M503" s="520"/>
      <c r="N503" s="520"/>
      <c r="O503" s="520"/>
      <c r="P503" s="520"/>
      <c r="Q503" s="496"/>
      <c r="R503" s="496"/>
      <c r="S503" s="520">
        <v>5000</v>
      </c>
      <c r="T503" s="520">
        <v>5000</v>
      </c>
      <c r="U503" s="520"/>
      <c r="V503" s="520"/>
      <c r="W503" s="520"/>
      <c r="X503" s="520"/>
      <c r="Y503" s="520"/>
      <c r="Z503" s="520"/>
      <c r="AA503" s="520"/>
      <c r="AB503" s="520"/>
      <c r="AC503" s="520"/>
      <c r="AD503" s="520"/>
      <c r="AE503" s="520"/>
      <c r="AF503" s="520"/>
      <c r="AG503" s="520"/>
      <c r="AH503" s="496"/>
      <c r="AI503" s="496"/>
      <c r="AJ503" s="496"/>
      <c r="AK503" s="496"/>
      <c r="AL503" s="496">
        <v>100</v>
      </c>
      <c r="AM503" s="496">
        <v>100</v>
      </c>
      <c r="AN503" s="496"/>
      <c r="AO503" s="496"/>
      <c r="AP503" s="768">
        <f>AQ503</f>
        <v>50</v>
      </c>
      <c r="AQ503" s="768">
        <v>50</v>
      </c>
      <c r="AR503" s="520"/>
      <c r="AS503" s="520"/>
      <c r="AT503" s="830" t="s">
        <v>1093</v>
      </c>
      <c r="AU503" s="484"/>
      <c r="AV503" s="484"/>
      <c r="AW503" s="773"/>
      <c r="AX503" s="498"/>
      <c r="AY503" s="499"/>
      <c r="AZ503" s="499"/>
      <c r="BA503" s="499"/>
      <c r="BB503" s="774"/>
      <c r="BC503" s="774"/>
      <c r="BF503" s="775"/>
      <c r="BG503" s="488">
        <f t="shared" si="522"/>
        <v>50</v>
      </c>
    </row>
    <row r="504" spans="1:60" s="82" customFormat="1" ht="59.25" customHeight="1">
      <c r="A504" s="617" t="s">
        <v>77</v>
      </c>
      <c r="B504" s="599" t="s">
        <v>763</v>
      </c>
      <c r="C504" s="494"/>
      <c r="D504" s="494"/>
      <c r="E504" s="494"/>
      <c r="F504" s="494"/>
      <c r="G504" s="494"/>
      <c r="H504" s="772"/>
      <c r="I504" s="494"/>
      <c r="J504" s="494"/>
      <c r="K504" s="768"/>
      <c r="L504" s="768"/>
      <c r="M504" s="520"/>
      <c r="N504" s="520"/>
      <c r="O504" s="520"/>
      <c r="P504" s="520"/>
      <c r="Q504" s="496"/>
      <c r="R504" s="496"/>
      <c r="S504" s="520">
        <v>13500</v>
      </c>
      <c r="T504" s="520">
        <v>13500</v>
      </c>
      <c r="U504" s="520"/>
      <c r="V504" s="520"/>
      <c r="W504" s="520"/>
      <c r="X504" s="520"/>
      <c r="Y504" s="520"/>
      <c r="Z504" s="520"/>
      <c r="AA504" s="520"/>
      <c r="AB504" s="520"/>
      <c r="AC504" s="520"/>
      <c r="AD504" s="520"/>
      <c r="AE504" s="520"/>
      <c r="AF504" s="520"/>
      <c r="AG504" s="520"/>
      <c r="AH504" s="496"/>
      <c r="AI504" s="496"/>
      <c r="AJ504" s="496"/>
      <c r="AK504" s="496"/>
      <c r="AL504" s="496">
        <v>350</v>
      </c>
      <c r="AM504" s="496">
        <v>350</v>
      </c>
      <c r="AN504" s="496"/>
      <c r="AO504" s="496"/>
      <c r="AP504" s="768">
        <f t="shared" ref="AP504" si="539">AQ504</f>
        <v>200</v>
      </c>
      <c r="AQ504" s="768">
        <v>200</v>
      </c>
      <c r="AR504" s="520"/>
      <c r="AS504" s="520"/>
      <c r="AT504" s="831"/>
      <c r="AU504" s="484"/>
      <c r="AV504" s="484"/>
      <c r="AW504" s="773"/>
      <c r="AX504" s="498"/>
      <c r="AY504" s="499"/>
      <c r="AZ504" s="499"/>
      <c r="BA504" s="499"/>
      <c r="BB504" s="774"/>
      <c r="BC504" s="774"/>
      <c r="BE504" s="82">
        <v>1</v>
      </c>
      <c r="BF504" s="82">
        <f>AQ504</f>
        <v>200</v>
      </c>
      <c r="BG504" s="488">
        <f t="shared" si="522"/>
        <v>150</v>
      </c>
    </row>
    <row r="505" spans="1:60" s="82" customFormat="1" ht="59.25" customHeight="1">
      <c r="A505" s="617" t="s">
        <v>79</v>
      </c>
      <c r="B505" s="599" t="s">
        <v>760</v>
      </c>
      <c r="C505" s="494"/>
      <c r="D505" s="494"/>
      <c r="E505" s="494"/>
      <c r="F505" s="494"/>
      <c r="G505" s="494"/>
      <c r="H505" s="772"/>
      <c r="I505" s="494"/>
      <c r="J505" s="494"/>
      <c r="K505" s="768"/>
      <c r="L505" s="768"/>
      <c r="M505" s="520"/>
      <c r="N505" s="520"/>
      <c r="O505" s="520"/>
      <c r="P505" s="520"/>
      <c r="Q505" s="496"/>
      <c r="R505" s="496"/>
      <c r="S505" s="520">
        <v>5000</v>
      </c>
      <c r="T505" s="520">
        <v>5000</v>
      </c>
      <c r="U505" s="520"/>
      <c r="V505" s="520"/>
      <c r="W505" s="520"/>
      <c r="X505" s="520"/>
      <c r="Y505" s="520"/>
      <c r="Z505" s="520"/>
      <c r="AA505" s="520"/>
      <c r="AB505" s="520"/>
      <c r="AC505" s="520"/>
      <c r="AD505" s="520"/>
      <c r="AE505" s="520"/>
      <c r="AF505" s="520"/>
      <c r="AG505" s="520"/>
      <c r="AH505" s="496"/>
      <c r="AI505" s="496"/>
      <c r="AJ505" s="496"/>
      <c r="AK505" s="496"/>
      <c r="AL505" s="496">
        <v>100</v>
      </c>
      <c r="AM505" s="496">
        <v>100</v>
      </c>
      <c r="AN505" s="496"/>
      <c r="AO505" s="496"/>
      <c r="AP505" s="768">
        <f t="shared" si="538"/>
        <v>50</v>
      </c>
      <c r="AQ505" s="768">
        <v>50</v>
      </c>
      <c r="AR505" s="520"/>
      <c r="AS505" s="520"/>
      <c r="AT505" s="831"/>
      <c r="AU505" s="484"/>
      <c r="AV505" s="484"/>
      <c r="AW505" s="773"/>
      <c r="AX505" s="498"/>
      <c r="AY505" s="499"/>
      <c r="AZ505" s="499"/>
      <c r="BA505" s="499"/>
      <c r="BB505" s="774"/>
      <c r="BC505" s="774"/>
      <c r="BG505" s="488">
        <f t="shared" si="522"/>
        <v>50</v>
      </c>
    </row>
    <row r="506" spans="1:60" s="82" customFormat="1" ht="69" customHeight="1">
      <c r="A506" s="617" t="s">
        <v>133</v>
      </c>
      <c r="B506" s="599" t="s">
        <v>761</v>
      </c>
      <c r="C506" s="494"/>
      <c r="D506" s="494"/>
      <c r="E506" s="494"/>
      <c r="F506" s="494"/>
      <c r="G506" s="494"/>
      <c r="H506" s="772"/>
      <c r="I506" s="494"/>
      <c r="J506" s="494"/>
      <c r="K506" s="768"/>
      <c r="L506" s="768"/>
      <c r="M506" s="520"/>
      <c r="N506" s="520"/>
      <c r="O506" s="520"/>
      <c r="P506" s="520"/>
      <c r="Q506" s="496"/>
      <c r="R506" s="496"/>
      <c r="S506" s="520">
        <v>7000</v>
      </c>
      <c r="T506" s="520">
        <v>7000</v>
      </c>
      <c r="U506" s="520"/>
      <c r="V506" s="520"/>
      <c r="W506" s="520"/>
      <c r="X506" s="520"/>
      <c r="Y506" s="520"/>
      <c r="Z506" s="520"/>
      <c r="AA506" s="520"/>
      <c r="AB506" s="520"/>
      <c r="AC506" s="520"/>
      <c r="AD506" s="520"/>
      <c r="AE506" s="520"/>
      <c r="AF506" s="520"/>
      <c r="AG506" s="520"/>
      <c r="AH506" s="496"/>
      <c r="AI506" s="496"/>
      <c r="AJ506" s="496"/>
      <c r="AK506" s="496"/>
      <c r="AL506" s="496">
        <v>160</v>
      </c>
      <c r="AM506" s="496">
        <v>160</v>
      </c>
      <c r="AN506" s="496"/>
      <c r="AO506" s="496"/>
      <c r="AP506" s="768">
        <f t="shared" si="538"/>
        <v>80</v>
      </c>
      <c r="AQ506" s="768">
        <v>80</v>
      </c>
      <c r="AR506" s="520"/>
      <c r="AS506" s="520"/>
      <c r="AT506" s="805" t="s">
        <v>1093</v>
      </c>
      <c r="AU506" s="484"/>
      <c r="AV506" s="484"/>
      <c r="AW506" s="773"/>
      <c r="AX506" s="498"/>
      <c r="AY506" s="499"/>
      <c r="AZ506" s="499"/>
      <c r="BA506" s="499"/>
      <c r="BB506" s="774"/>
      <c r="BC506" s="774"/>
      <c r="BE506" s="82">
        <v>1</v>
      </c>
      <c r="BF506" s="82">
        <f>AQ506</f>
        <v>80</v>
      </c>
      <c r="BG506" s="488">
        <f t="shared" si="522"/>
        <v>80</v>
      </c>
    </row>
    <row r="507" spans="1:60" s="781" customFormat="1" ht="59.25" hidden="1" customHeight="1">
      <c r="A507" s="617"/>
      <c r="B507" s="552"/>
      <c r="C507" s="545"/>
      <c r="D507" s="545"/>
      <c r="E507" s="545"/>
      <c r="F507" s="545"/>
      <c r="G507" s="545"/>
      <c r="H507" s="578"/>
      <c r="I507" s="778"/>
      <c r="J507" s="481"/>
      <c r="K507" s="496"/>
      <c r="L507" s="496"/>
      <c r="M507" s="496"/>
      <c r="N507" s="496"/>
      <c r="O507" s="496"/>
      <c r="P507" s="496"/>
      <c r="Q507" s="496"/>
      <c r="R507" s="496"/>
      <c r="S507" s="496"/>
      <c r="T507" s="496"/>
      <c r="U507" s="496"/>
      <c r="V507" s="496"/>
      <c r="W507" s="496"/>
      <c r="X507" s="496"/>
      <c r="Y507" s="496"/>
      <c r="Z507" s="496"/>
      <c r="AA507" s="496"/>
      <c r="AB507" s="496"/>
      <c r="AC507" s="496"/>
      <c r="AD507" s="496"/>
      <c r="AE507" s="496"/>
      <c r="AF507" s="496"/>
      <c r="AG507" s="496"/>
      <c r="AH507" s="482">
        <f t="shared" si="513"/>
        <v>0</v>
      </c>
      <c r="AI507" s="482">
        <f t="shared" si="514"/>
        <v>0</v>
      </c>
      <c r="AJ507" s="482"/>
      <c r="AK507" s="482"/>
      <c r="AL507" s="482">
        <f t="shared" ref="AL507:AL518" si="540">AP507</f>
        <v>0</v>
      </c>
      <c r="AM507" s="482">
        <f t="shared" ref="AM507:AM518" si="541">AQ507</f>
        <v>0</v>
      </c>
      <c r="AN507" s="482">
        <f t="shared" ref="AN507:AN518" si="542">AR507</f>
        <v>0</v>
      </c>
      <c r="AO507" s="482">
        <f t="shared" ref="AO507:AO518" si="543">AS507</f>
        <v>0</v>
      </c>
      <c r="AP507" s="496"/>
      <c r="AQ507" s="496"/>
      <c r="AR507" s="520"/>
      <c r="AS507" s="496"/>
      <c r="AT507" s="494"/>
      <c r="AU507" s="484"/>
      <c r="AV507" s="484"/>
      <c r="AW507" s="494"/>
      <c r="AX507" s="779"/>
      <c r="AY507" s="780"/>
      <c r="BB507" s="782"/>
      <c r="BG507" s="488">
        <f t="shared" ref="BG507:BG518" si="544">AL507-AQ507</f>
        <v>0</v>
      </c>
    </row>
    <row r="508" spans="1:60" s="781" customFormat="1" ht="110.25" customHeight="1">
      <c r="A508" s="478" t="s">
        <v>736</v>
      </c>
      <c r="B508" s="534" t="s">
        <v>737</v>
      </c>
      <c r="C508" s="550"/>
      <c r="D508" s="550"/>
      <c r="E508" s="550"/>
      <c r="F508" s="550"/>
      <c r="G508" s="550"/>
      <c r="H508" s="580"/>
      <c r="I508" s="783"/>
      <c r="J508" s="481"/>
      <c r="K508" s="482"/>
      <c r="L508" s="482"/>
      <c r="M508" s="482"/>
      <c r="N508" s="482"/>
      <c r="O508" s="482"/>
      <c r="P508" s="482"/>
      <c r="Q508" s="482"/>
      <c r="R508" s="482"/>
      <c r="S508" s="482"/>
      <c r="T508" s="482"/>
      <c r="U508" s="482"/>
      <c r="V508" s="482"/>
      <c r="W508" s="482"/>
      <c r="X508" s="482"/>
      <c r="Y508" s="482"/>
      <c r="Z508" s="482"/>
      <c r="AA508" s="482"/>
      <c r="AB508" s="482">
        <f>AC508</f>
        <v>3585.5442430000294</v>
      </c>
      <c r="AC508" s="482">
        <v>3585.5442430000294</v>
      </c>
      <c r="AD508" s="482"/>
      <c r="AE508" s="482"/>
      <c r="AF508" s="482"/>
      <c r="AG508" s="482"/>
      <c r="AH508" s="482">
        <f t="shared" si="513"/>
        <v>3585.5442430000294</v>
      </c>
      <c r="AI508" s="482">
        <f t="shared" si="514"/>
        <v>3585.5442430000294</v>
      </c>
      <c r="AJ508" s="482"/>
      <c r="AK508" s="482"/>
      <c r="AL508" s="482">
        <f t="shared" si="540"/>
        <v>0</v>
      </c>
      <c r="AM508" s="482">
        <f t="shared" si="541"/>
        <v>0</v>
      </c>
      <c r="AN508" s="482">
        <f t="shared" si="542"/>
        <v>0</v>
      </c>
      <c r="AO508" s="482">
        <f t="shared" si="543"/>
        <v>0</v>
      </c>
      <c r="AP508" s="482"/>
      <c r="AQ508" s="482"/>
      <c r="AR508" s="520"/>
      <c r="AS508" s="482"/>
      <c r="AT508" s="494" t="s">
        <v>738</v>
      </c>
      <c r="AU508" s="489">
        <f t="shared" ref="AU508:AU518" si="545">AP508-AQ508</f>
        <v>0</v>
      </c>
      <c r="AV508" s="489"/>
      <c r="AW508" s="480"/>
      <c r="AX508" s="784"/>
      <c r="BB508" s="785"/>
      <c r="BG508" s="488">
        <f t="shared" si="544"/>
        <v>0</v>
      </c>
    </row>
    <row r="509" spans="1:60" s="81" customFormat="1" ht="59.25" customHeight="1">
      <c r="A509" s="576" t="s">
        <v>1031</v>
      </c>
      <c r="B509" s="514" t="s">
        <v>973</v>
      </c>
      <c r="C509" s="480"/>
      <c r="D509" s="480"/>
      <c r="E509" s="480"/>
      <c r="F509" s="480"/>
      <c r="G509" s="480"/>
      <c r="H509" s="480"/>
      <c r="I509" s="480"/>
      <c r="J509" s="481"/>
      <c r="K509" s="519"/>
      <c r="L509" s="519"/>
      <c r="M509" s="519"/>
      <c r="N509" s="519"/>
      <c r="O509" s="519"/>
      <c r="P509" s="519"/>
      <c r="Q509" s="496">
        <f t="shared" ref="Q509:R518" si="546">M509+X509</f>
        <v>0</v>
      </c>
      <c r="R509" s="496">
        <f t="shared" si="546"/>
        <v>0</v>
      </c>
      <c r="S509" s="519"/>
      <c r="T509" s="519"/>
      <c r="U509" s="519"/>
      <c r="V509" s="519"/>
      <c r="W509" s="519"/>
      <c r="X509" s="519"/>
      <c r="Y509" s="519"/>
      <c r="Z509" s="519"/>
      <c r="AA509" s="519"/>
      <c r="AB509" s="519">
        <f t="shared" ref="AB509:AG509" si="547">SUM(AB510:AB519)</f>
        <v>152068</v>
      </c>
      <c r="AC509" s="519">
        <f t="shared" si="547"/>
        <v>152068</v>
      </c>
      <c r="AD509" s="519">
        <f t="shared" si="547"/>
        <v>0</v>
      </c>
      <c r="AE509" s="519">
        <f t="shared" si="547"/>
        <v>0</v>
      </c>
      <c r="AF509" s="519">
        <f t="shared" si="547"/>
        <v>0</v>
      </c>
      <c r="AG509" s="519">
        <f t="shared" si="547"/>
        <v>0</v>
      </c>
      <c r="AH509" s="519">
        <f>AH513+AH514+AH515+AH516+AH517</f>
        <v>1028</v>
      </c>
      <c r="AI509" s="519">
        <f t="shared" ref="AI509:AS509" si="548">AI513+AI514+AI515+AI516+AI517</f>
        <v>1028</v>
      </c>
      <c r="AJ509" s="519">
        <f t="shared" si="548"/>
        <v>0</v>
      </c>
      <c r="AK509" s="519">
        <f t="shared" si="548"/>
        <v>0</v>
      </c>
      <c r="AL509" s="519">
        <f t="shared" si="548"/>
        <v>23994</v>
      </c>
      <c r="AM509" s="519">
        <f t="shared" si="548"/>
        <v>23994</v>
      </c>
      <c r="AN509" s="519">
        <f t="shared" si="548"/>
        <v>0</v>
      </c>
      <c r="AO509" s="519">
        <f t="shared" si="548"/>
        <v>0</v>
      </c>
      <c r="AP509" s="519">
        <f t="shared" si="548"/>
        <v>23994</v>
      </c>
      <c r="AQ509" s="519">
        <f>AQ513+AQ514+AQ515+AQ516+AQ517</f>
        <v>23994</v>
      </c>
      <c r="AR509" s="519">
        <f t="shared" si="548"/>
        <v>0</v>
      </c>
      <c r="AS509" s="519">
        <f t="shared" si="548"/>
        <v>0</v>
      </c>
      <c r="AT509" s="786"/>
      <c r="AU509" s="484">
        <f t="shared" si="545"/>
        <v>0</v>
      </c>
      <c r="AV509" s="484">
        <f t="shared" ref="AV509:AV518" si="549">V509-AA509</f>
        <v>0</v>
      </c>
      <c r="AW509" s="521"/>
      <c r="AX509" s="486"/>
      <c r="AY509" s="740"/>
      <c r="AZ509" s="486"/>
      <c r="BA509" s="486"/>
      <c r="BG509" s="488">
        <f t="shared" si="544"/>
        <v>0</v>
      </c>
    </row>
    <row r="510" spans="1:60" s="81" customFormat="1" ht="59.25" customHeight="1">
      <c r="A510" s="517">
        <v>1</v>
      </c>
      <c r="B510" s="518" t="s">
        <v>724</v>
      </c>
      <c r="C510" s="480"/>
      <c r="D510" s="480"/>
      <c r="E510" s="480"/>
      <c r="F510" s="480"/>
      <c r="G510" s="480"/>
      <c r="H510" s="480"/>
      <c r="I510" s="480"/>
      <c r="J510" s="481"/>
      <c r="K510" s="519"/>
      <c r="L510" s="519"/>
      <c r="M510" s="519"/>
      <c r="N510" s="519"/>
      <c r="O510" s="519"/>
      <c r="P510" s="519"/>
      <c r="Q510" s="496">
        <f t="shared" si="546"/>
        <v>0</v>
      </c>
      <c r="R510" s="496">
        <f t="shared" si="546"/>
        <v>0</v>
      </c>
      <c r="S510" s="482"/>
      <c r="T510" s="482"/>
      <c r="U510" s="482"/>
      <c r="V510" s="482"/>
      <c r="W510" s="482"/>
      <c r="X510" s="496"/>
      <c r="Y510" s="496"/>
      <c r="Z510" s="519"/>
      <c r="AA510" s="519"/>
      <c r="AB510" s="496">
        <v>94491</v>
      </c>
      <c r="AC510" s="496">
        <v>94491</v>
      </c>
      <c r="AD510" s="519"/>
      <c r="AE510" s="519"/>
      <c r="AF510" s="519"/>
      <c r="AG510" s="519"/>
      <c r="AH510" s="482">
        <f t="shared" si="513"/>
        <v>94491</v>
      </c>
      <c r="AI510" s="482">
        <f t="shared" si="514"/>
        <v>94491</v>
      </c>
      <c r="AJ510" s="482"/>
      <c r="AK510" s="482"/>
      <c r="AL510" s="482">
        <f t="shared" si="540"/>
        <v>0</v>
      </c>
      <c r="AM510" s="482">
        <f t="shared" si="541"/>
        <v>0</v>
      </c>
      <c r="AN510" s="482">
        <f t="shared" si="542"/>
        <v>0</v>
      </c>
      <c r="AO510" s="482">
        <f t="shared" si="543"/>
        <v>0</v>
      </c>
      <c r="AP510" s="520">
        <f>AQ510</f>
        <v>0</v>
      </c>
      <c r="AQ510" s="520"/>
      <c r="AR510" s="520"/>
      <c r="AS510" s="519"/>
      <c r="AT510" s="633"/>
      <c r="AU510" s="484">
        <f t="shared" si="545"/>
        <v>0</v>
      </c>
      <c r="AV510" s="484">
        <f t="shared" si="549"/>
        <v>0</v>
      </c>
      <c r="AW510" s="521"/>
      <c r="AX510" s="486"/>
      <c r="AY510" s="487"/>
      <c r="AZ510" s="487"/>
      <c r="BA510" s="487"/>
      <c r="BG510" s="488">
        <f t="shared" si="544"/>
        <v>0</v>
      </c>
    </row>
    <row r="511" spans="1:60" s="81" customFormat="1" ht="59.25" customHeight="1">
      <c r="A511" s="517">
        <v>2</v>
      </c>
      <c r="B511" s="518" t="s">
        <v>725</v>
      </c>
      <c r="C511" s="480"/>
      <c r="D511" s="480"/>
      <c r="E511" s="480"/>
      <c r="F511" s="480"/>
      <c r="G511" s="480"/>
      <c r="H511" s="480"/>
      <c r="I511" s="480"/>
      <c r="J511" s="481"/>
      <c r="K511" s="519"/>
      <c r="L511" s="519"/>
      <c r="M511" s="519"/>
      <c r="N511" s="519"/>
      <c r="O511" s="519"/>
      <c r="P511" s="519"/>
      <c r="Q511" s="496">
        <f t="shared" si="546"/>
        <v>0</v>
      </c>
      <c r="R511" s="496">
        <f t="shared" si="546"/>
        <v>0</v>
      </c>
      <c r="S511" s="482"/>
      <c r="T511" s="482"/>
      <c r="U511" s="482"/>
      <c r="V511" s="482"/>
      <c r="W511" s="482"/>
      <c r="X511" s="496"/>
      <c r="Y511" s="496"/>
      <c r="Z511" s="519"/>
      <c r="AA511" s="519"/>
      <c r="AB511" s="496">
        <v>3760</v>
      </c>
      <c r="AC511" s="496">
        <v>3760</v>
      </c>
      <c r="AD511" s="519"/>
      <c r="AE511" s="519"/>
      <c r="AF511" s="519"/>
      <c r="AG511" s="519"/>
      <c r="AH511" s="482">
        <f t="shared" si="513"/>
        <v>3760</v>
      </c>
      <c r="AI511" s="482">
        <f>Y511+AC511</f>
        <v>3760</v>
      </c>
      <c r="AJ511" s="482"/>
      <c r="AK511" s="482"/>
      <c r="AL511" s="482">
        <f t="shared" si="540"/>
        <v>0</v>
      </c>
      <c r="AM511" s="482">
        <f t="shared" si="541"/>
        <v>0</v>
      </c>
      <c r="AN511" s="482">
        <f t="shared" si="542"/>
        <v>0</v>
      </c>
      <c r="AO511" s="482">
        <f t="shared" si="543"/>
        <v>0</v>
      </c>
      <c r="AP511" s="520">
        <f>AQ511</f>
        <v>0</v>
      </c>
      <c r="AQ511" s="519"/>
      <c r="AR511" s="520"/>
      <c r="AS511" s="519"/>
      <c r="AT511" s="633"/>
      <c r="AU511" s="484">
        <f t="shared" si="545"/>
        <v>0</v>
      </c>
      <c r="AV511" s="484">
        <f t="shared" si="549"/>
        <v>0</v>
      </c>
      <c r="AW511" s="521"/>
      <c r="AX511" s="486"/>
      <c r="AY511" s="487"/>
      <c r="AZ511" s="487"/>
      <c r="BA511" s="487"/>
      <c r="BG511" s="488">
        <f t="shared" si="544"/>
        <v>0</v>
      </c>
    </row>
    <row r="512" spans="1:60" s="81" customFormat="1" ht="59.25" customHeight="1">
      <c r="A512" s="517">
        <v>3</v>
      </c>
      <c r="B512" s="518" t="s">
        <v>726</v>
      </c>
      <c r="C512" s="480"/>
      <c r="D512" s="480"/>
      <c r="E512" s="480"/>
      <c r="F512" s="480"/>
      <c r="G512" s="480"/>
      <c r="H512" s="480"/>
      <c r="I512" s="480"/>
      <c r="J512" s="481"/>
      <c r="K512" s="519"/>
      <c r="L512" s="519"/>
      <c r="M512" s="519"/>
      <c r="N512" s="519"/>
      <c r="O512" s="519"/>
      <c r="P512" s="519"/>
      <c r="Q512" s="496">
        <f t="shared" si="546"/>
        <v>0</v>
      </c>
      <c r="R512" s="496">
        <f t="shared" si="546"/>
        <v>0</v>
      </c>
      <c r="S512" s="482"/>
      <c r="T512" s="482"/>
      <c r="U512" s="482"/>
      <c r="V512" s="482"/>
      <c r="W512" s="482"/>
      <c r="X512" s="496"/>
      <c r="Y512" s="496"/>
      <c r="Z512" s="519"/>
      <c r="AA512" s="519"/>
      <c r="AB512" s="520">
        <v>2789</v>
      </c>
      <c r="AC512" s="520">
        <v>2789</v>
      </c>
      <c r="AD512" s="519"/>
      <c r="AE512" s="519"/>
      <c r="AF512" s="519"/>
      <c r="AG512" s="519"/>
      <c r="AH512" s="482">
        <f t="shared" si="513"/>
        <v>2789</v>
      </c>
      <c r="AI512" s="482">
        <f t="shared" si="514"/>
        <v>2789</v>
      </c>
      <c r="AJ512" s="482"/>
      <c r="AK512" s="482"/>
      <c r="AL512" s="482">
        <f t="shared" si="540"/>
        <v>0</v>
      </c>
      <c r="AM512" s="482">
        <f t="shared" si="541"/>
        <v>0</v>
      </c>
      <c r="AN512" s="482">
        <f t="shared" si="542"/>
        <v>0</v>
      </c>
      <c r="AO512" s="482">
        <f t="shared" si="543"/>
        <v>0</v>
      </c>
      <c r="AP512" s="520">
        <f t="shared" ref="AP512:AP517" si="550">AQ512</f>
        <v>0</v>
      </c>
      <c r="AQ512" s="519"/>
      <c r="AR512" s="520"/>
      <c r="AS512" s="519"/>
      <c r="AT512" s="494"/>
      <c r="AU512" s="484">
        <f t="shared" si="545"/>
        <v>0</v>
      </c>
      <c r="AV512" s="484">
        <f t="shared" si="549"/>
        <v>0</v>
      </c>
      <c r="AW512" s="521"/>
      <c r="AX512" s="486"/>
      <c r="AY512" s="487"/>
      <c r="AZ512" s="487"/>
      <c r="BA512" s="487"/>
      <c r="BG512" s="488">
        <f t="shared" si="544"/>
        <v>0</v>
      </c>
    </row>
    <row r="513" spans="1:59" s="81" customFormat="1" ht="59.25" customHeight="1">
      <c r="A513" s="517">
        <v>1</v>
      </c>
      <c r="B513" s="518" t="s">
        <v>727</v>
      </c>
      <c r="C513" s="480"/>
      <c r="D513" s="480"/>
      <c r="E513" s="480"/>
      <c r="F513" s="480"/>
      <c r="G513" s="480"/>
      <c r="H513" s="480"/>
      <c r="I513" s="480"/>
      <c r="J513" s="481"/>
      <c r="K513" s="519"/>
      <c r="L513" s="519"/>
      <c r="M513" s="519"/>
      <c r="N513" s="519"/>
      <c r="O513" s="519"/>
      <c r="P513" s="519"/>
      <c r="Q513" s="496">
        <f t="shared" si="546"/>
        <v>0</v>
      </c>
      <c r="R513" s="496">
        <f t="shared" si="546"/>
        <v>0</v>
      </c>
      <c r="S513" s="482"/>
      <c r="T513" s="482"/>
      <c r="U513" s="482"/>
      <c r="V513" s="482"/>
      <c r="W513" s="482"/>
      <c r="X513" s="519"/>
      <c r="Y513" s="519"/>
      <c r="Z513" s="519"/>
      <c r="AA513" s="519"/>
      <c r="AB513" s="520">
        <v>492</v>
      </c>
      <c r="AC513" s="520">
        <v>492</v>
      </c>
      <c r="AD513" s="519"/>
      <c r="AE513" s="519"/>
      <c r="AF513" s="519"/>
      <c r="AG513" s="519"/>
      <c r="AH513" s="496">
        <f t="shared" si="513"/>
        <v>492</v>
      </c>
      <c r="AI513" s="496">
        <f t="shared" si="514"/>
        <v>492</v>
      </c>
      <c r="AJ513" s="482"/>
      <c r="AK513" s="482"/>
      <c r="AL513" s="482">
        <f t="shared" si="540"/>
        <v>455</v>
      </c>
      <c r="AM513" s="482">
        <f t="shared" si="541"/>
        <v>455</v>
      </c>
      <c r="AN513" s="482">
        <f t="shared" si="542"/>
        <v>0</v>
      </c>
      <c r="AO513" s="482">
        <f t="shared" si="543"/>
        <v>0</v>
      </c>
      <c r="AP513" s="520">
        <f t="shared" si="550"/>
        <v>455</v>
      </c>
      <c r="AQ513" s="520">
        <v>455</v>
      </c>
      <c r="AR513" s="520"/>
      <c r="AS513" s="519"/>
      <c r="AT513" s="494"/>
      <c r="AU513" s="484">
        <f t="shared" si="545"/>
        <v>0</v>
      </c>
      <c r="AV513" s="484">
        <f t="shared" si="549"/>
        <v>0</v>
      </c>
      <c r="AW513" s="521"/>
      <c r="AX513" s="486"/>
      <c r="AY513" s="487"/>
      <c r="AZ513" s="487"/>
      <c r="BA513" s="487"/>
      <c r="BG513" s="488">
        <f t="shared" si="544"/>
        <v>0</v>
      </c>
    </row>
    <row r="514" spans="1:59" s="81" customFormat="1" ht="59.25" customHeight="1">
      <c r="A514" s="517">
        <v>2</v>
      </c>
      <c r="B514" s="518" t="s">
        <v>1032</v>
      </c>
      <c r="C514" s="480"/>
      <c r="D514" s="480"/>
      <c r="E514" s="480"/>
      <c r="F514" s="480"/>
      <c r="G514" s="480"/>
      <c r="H514" s="480"/>
      <c r="I514" s="480"/>
      <c r="J514" s="481"/>
      <c r="K514" s="519"/>
      <c r="L514" s="519"/>
      <c r="M514" s="519"/>
      <c r="N514" s="519"/>
      <c r="O514" s="519"/>
      <c r="P514" s="519"/>
      <c r="Q514" s="496">
        <f t="shared" si="546"/>
        <v>0</v>
      </c>
      <c r="R514" s="496">
        <f t="shared" si="546"/>
        <v>0</v>
      </c>
      <c r="S514" s="482"/>
      <c r="T514" s="482"/>
      <c r="U514" s="482"/>
      <c r="V514" s="482"/>
      <c r="W514" s="482"/>
      <c r="X514" s="519"/>
      <c r="Y514" s="519"/>
      <c r="Z514" s="519"/>
      <c r="AA514" s="519"/>
      <c r="AB514" s="520">
        <v>483</v>
      </c>
      <c r="AC514" s="520">
        <v>483</v>
      </c>
      <c r="AD514" s="519"/>
      <c r="AE514" s="519"/>
      <c r="AF514" s="519"/>
      <c r="AG514" s="519"/>
      <c r="AH514" s="496">
        <f t="shared" si="513"/>
        <v>483</v>
      </c>
      <c r="AI514" s="496">
        <f t="shared" si="514"/>
        <v>483</v>
      </c>
      <c r="AJ514" s="482"/>
      <c r="AK514" s="482"/>
      <c r="AL514" s="482">
        <f t="shared" si="540"/>
        <v>916</v>
      </c>
      <c r="AM514" s="482">
        <f t="shared" si="541"/>
        <v>916</v>
      </c>
      <c r="AN514" s="482">
        <f t="shared" si="542"/>
        <v>0</v>
      </c>
      <c r="AO514" s="482">
        <f t="shared" si="543"/>
        <v>0</v>
      </c>
      <c r="AP514" s="520">
        <f t="shared" si="550"/>
        <v>916</v>
      </c>
      <c r="AQ514" s="520">
        <v>916</v>
      </c>
      <c r="AR514" s="520"/>
      <c r="AS514" s="519"/>
      <c r="AT514" s="494"/>
      <c r="AU514" s="484">
        <f t="shared" si="545"/>
        <v>0</v>
      </c>
      <c r="AV514" s="484">
        <f t="shared" si="549"/>
        <v>0</v>
      </c>
      <c r="AW514" s="521"/>
      <c r="AX514" s="486"/>
      <c r="AY514" s="487"/>
      <c r="AZ514" s="487"/>
      <c r="BA514" s="487"/>
      <c r="BG514" s="488">
        <f t="shared" si="544"/>
        <v>0</v>
      </c>
    </row>
    <row r="515" spans="1:59" s="81" customFormat="1" ht="59.25" customHeight="1">
      <c r="A515" s="517">
        <v>3</v>
      </c>
      <c r="B515" s="522" t="s">
        <v>1033</v>
      </c>
      <c r="C515" s="480"/>
      <c r="D515" s="480"/>
      <c r="E515" s="480"/>
      <c r="F515" s="480"/>
      <c r="G515" s="480"/>
      <c r="H515" s="480"/>
      <c r="I515" s="480"/>
      <c r="J515" s="481"/>
      <c r="K515" s="519"/>
      <c r="L515" s="519"/>
      <c r="M515" s="519"/>
      <c r="N515" s="519"/>
      <c r="O515" s="519"/>
      <c r="P515" s="519"/>
      <c r="Q515" s="496">
        <f t="shared" si="546"/>
        <v>0</v>
      </c>
      <c r="R515" s="496">
        <f t="shared" si="546"/>
        <v>0</v>
      </c>
      <c r="S515" s="482"/>
      <c r="T515" s="482"/>
      <c r="U515" s="482"/>
      <c r="V515" s="482"/>
      <c r="W515" s="482"/>
      <c r="X515" s="519"/>
      <c r="Y515" s="519"/>
      <c r="Z515" s="519"/>
      <c r="AA515" s="519"/>
      <c r="AB515" s="520">
        <v>53</v>
      </c>
      <c r="AC515" s="520">
        <v>53</v>
      </c>
      <c r="AD515" s="519"/>
      <c r="AE515" s="519"/>
      <c r="AF515" s="519"/>
      <c r="AG515" s="519"/>
      <c r="AH515" s="496">
        <f t="shared" si="513"/>
        <v>53</v>
      </c>
      <c r="AI515" s="496">
        <f t="shared" si="514"/>
        <v>53</v>
      </c>
      <c r="AJ515" s="482"/>
      <c r="AK515" s="482"/>
      <c r="AL515" s="482">
        <f t="shared" si="540"/>
        <v>172</v>
      </c>
      <c r="AM515" s="482">
        <f t="shared" si="541"/>
        <v>172</v>
      </c>
      <c r="AN515" s="482">
        <f t="shared" si="542"/>
        <v>0</v>
      </c>
      <c r="AO515" s="482">
        <f t="shared" si="543"/>
        <v>0</v>
      </c>
      <c r="AP515" s="520">
        <f t="shared" si="550"/>
        <v>172</v>
      </c>
      <c r="AQ515" s="520">
        <v>172</v>
      </c>
      <c r="AR515" s="520"/>
      <c r="AS515" s="519"/>
      <c r="AT515" s="494"/>
      <c r="AU515" s="484">
        <f t="shared" si="545"/>
        <v>0</v>
      </c>
      <c r="AV515" s="484">
        <f t="shared" si="549"/>
        <v>0</v>
      </c>
      <c r="AW515" s="521"/>
      <c r="AX515" s="486"/>
      <c r="AY515" s="487"/>
      <c r="AZ515" s="487"/>
      <c r="BA515" s="487"/>
      <c r="BG515" s="488">
        <f t="shared" si="544"/>
        <v>0</v>
      </c>
    </row>
    <row r="516" spans="1:59" s="81" customFormat="1" ht="72" customHeight="1">
      <c r="A516" s="517">
        <v>4</v>
      </c>
      <c r="B516" s="522" t="s">
        <v>1086</v>
      </c>
      <c r="C516" s="480"/>
      <c r="D516" s="480"/>
      <c r="E516" s="480"/>
      <c r="F516" s="480"/>
      <c r="G516" s="480"/>
      <c r="H516" s="480"/>
      <c r="I516" s="480"/>
      <c r="J516" s="481"/>
      <c r="K516" s="519"/>
      <c r="L516" s="519"/>
      <c r="M516" s="519"/>
      <c r="N516" s="519"/>
      <c r="O516" s="519"/>
      <c r="P516" s="519"/>
      <c r="Q516" s="496"/>
      <c r="R516" s="496"/>
      <c r="S516" s="482"/>
      <c r="T516" s="482"/>
      <c r="U516" s="482"/>
      <c r="V516" s="482"/>
      <c r="W516" s="482"/>
      <c r="X516" s="519"/>
      <c r="Y516" s="519"/>
      <c r="Z516" s="519"/>
      <c r="AA516" s="519"/>
      <c r="AB516" s="520"/>
      <c r="AC516" s="520"/>
      <c r="AD516" s="519"/>
      <c r="AE516" s="519"/>
      <c r="AF516" s="519"/>
      <c r="AG516" s="519"/>
      <c r="AH516" s="496"/>
      <c r="AI516" s="496"/>
      <c r="AJ516" s="482"/>
      <c r="AK516" s="482"/>
      <c r="AL516" s="482">
        <f t="shared" si="540"/>
        <v>51</v>
      </c>
      <c r="AM516" s="482">
        <f t="shared" si="541"/>
        <v>51</v>
      </c>
      <c r="AN516" s="482"/>
      <c r="AO516" s="482"/>
      <c r="AP516" s="520">
        <f t="shared" si="550"/>
        <v>51</v>
      </c>
      <c r="AQ516" s="520">
        <v>51</v>
      </c>
      <c r="AR516" s="520"/>
      <c r="AS516" s="519"/>
      <c r="AT516" s="494"/>
      <c r="AU516" s="787">
        <f t="shared" si="545"/>
        <v>0</v>
      </c>
      <c r="AV516" s="484"/>
      <c r="AW516" s="521"/>
      <c r="AX516" s="486"/>
      <c r="AY516" s="487"/>
      <c r="AZ516" s="487"/>
      <c r="BA516" s="487"/>
      <c r="BG516" s="488">
        <f t="shared" si="544"/>
        <v>0</v>
      </c>
    </row>
    <row r="517" spans="1:59" s="81" customFormat="1" ht="59.25" customHeight="1">
      <c r="A517" s="517">
        <v>5</v>
      </c>
      <c r="B517" s="522" t="s">
        <v>1038</v>
      </c>
      <c r="C517" s="480"/>
      <c r="D517" s="480"/>
      <c r="E517" s="480"/>
      <c r="F517" s="480"/>
      <c r="G517" s="480"/>
      <c r="H517" s="480"/>
      <c r="I517" s="480"/>
      <c r="J517" s="481"/>
      <c r="K517" s="519"/>
      <c r="L517" s="519"/>
      <c r="M517" s="519"/>
      <c r="N517" s="519"/>
      <c r="O517" s="519"/>
      <c r="P517" s="519"/>
      <c r="Q517" s="496"/>
      <c r="R517" s="496"/>
      <c r="S517" s="482"/>
      <c r="T517" s="482"/>
      <c r="U517" s="482"/>
      <c r="V517" s="482"/>
      <c r="W517" s="482"/>
      <c r="X517" s="519"/>
      <c r="Y517" s="519"/>
      <c r="Z517" s="519"/>
      <c r="AA517" s="519"/>
      <c r="AB517" s="520"/>
      <c r="AC517" s="520"/>
      <c r="AD517" s="519"/>
      <c r="AE517" s="519"/>
      <c r="AF517" s="519"/>
      <c r="AG517" s="519"/>
      <c r="AH517" s="482"/>
      <c r="AI517" s="482"/>
      <c r="AJ517" s="482"/>
      <c r="AK517" s="482"/>
      <c r="AL517" s="482">
        <f t="shared" si="540"/>
        <v>22400</v>
      </c>
      <c r="AM517" s="482">
        <f t="shared" si="541"/>
        <v>22400</v>
      </c>
      <c r="AN517" s="482"/>
      <c r="AO517" s="482"/>
      <c r="AP517" s="520">
        <f t="shared" si="550"/>
        <v>22400</v>
      </c>
      <c r="AQ517" s="520">
        <v>22400</v>
      </c>
      <c r="AR517" s="520"/>
      <c r="AS517" s="519"/>
      <c r="AT517" s="494"/>
      <c r="AU517" s="787">
        <f t="shared" si="545"/>
        <v>0</v>
      </c>
      <c r="AV517" s="484"/>
      <c r="AW517" s="521"/>
      <c r="AX517" s="486"/>
      <c r="AY517" s="487"/>
      <c r="AZ517" s="487"/>
      <c r="BA517" s="487"/>
      <c r="BG517" s="488">
        <f t="shared" si="544"/>
        <v>0</v>
      </c>
    </row>
    <row r="518" spans="1:59" s="81" customFormat="1" ht="109.5" customHeight="1">
      <c r="A518" s="517">
        <v>7</v>
      </c>
      <c r="B518" s="611" t="s">
        <v>730</v>
      </c>
      <c r="C518" s="480"/>
      <c r="D518" s="480"/>
      <c r="E518" s="480"/>
      <c r="F518" s="480"/>
      <c r="G518" s="480"/>
      <c r="H518" s="480"/>
      <c r="I518" s="480"/>
      <c r="J518" s="481"/>
      <c r="K518" s="519"/>
      <c r="L518" s="519"/>
      <c r="M518" s="519"/>
      <c r="N518" s="519"/>
      <c r="O518" s="519"/>
      <c r="P518" s="519"/>
      <c r="Q518" s="496">
        <f t="shared" si="546"/>
        <v>0</v>
      </c>
      <c r="R518" s="496">
        <f t="shared" si="546"/>
        <v>0</v>
      </c>
      <c r="S518" s="482"/>
      <c r="T518" s="482"/>
      <c r="U518" s="482"/>
      <c r="V518" s="482"/>
      <c r="W518" s="482"/>
      <c r="X518" s="519"/>
      <c r="Y518" s="519"/>
      <c r="Z518" s="519"/>
      <c r="AA518" s="519"/>
      <c r="AB518" s="496">
        <v>50000</v>
      </c>
      <c r="AC518" s="496">
        <v>50000</v>
      </c>
      <c r="AD518" s="519"/>
      <c r="AE518" s="519"/>
      <c r="AF518" s="519"/>
      <c r="AG518" s="519"/>
      <c r="AH518" s="482">
        <f t="shared" si="513"/>
        <v>50000</v>
      </c>
      <c r="AI518" s="482">
        <f t="shared" si="514"/>
        <v>50000</v>
      </c>
      <c r="AJ518" s="482"/>
      <c r="AK518" s="482"/>
      <c r="AL518" s="482">
        <f t="shared" si="540"/>
        <v>0</v>
      </c>
      <c r="AM518" s="482">
        <f t="shared" si="541"/>
        <v>0</v>
      </c>
      <c r="AN518" s="482">
        <f t="shared" si="542"/>
        <v>0</v>
      </c>
      <c r="AO518" s="482">
        <f t="shared" si="543"/>
        <v>0</v>
      </c>
      <c r="AP518" s="519"/>
      <c r="AQ518" s="519"/>
      <c r="AR518" s="520"/>
      <c r="AS518" s="519"/>
      <c r="AT518" s="536" t="s">
        <v>739</v>
      </c>
      <c r="AU518" s="787">
        <f t="shared" si="545"/>
        <v>0</v>
      </c>
      <c r="AV518" s="484">
        <f t="shared" si="549"/>
        <v>0</v>
      </c>
      <c r="AW518" s="536"/>
      <c r="AX518" s="486"/>
      <c r="AY518" s="487"/>
      <c r="AZ518" s="487"/>
      <c r="BA518" s="487"/>
      <c r="BG518" s="488">
        <f t="shared" si="544"/>
        <v>0</v>
      </c>
    </row>
    <row r="519" spans="1:59" s="81" customFormat="1" ht="108.75" customHeight="1">
      <c r="A519" s="517">
        <v>8</v>
      </c>
      <c r="B519" s="611" t="s">
        <v>969</v>
      </c>
      <c r="C519" s="480"/>
      <c r="D519" s="480"/>
      <c r="E519" s="480"/>
      <c r="F519" s="480"/>
      <c r="G519" s="480"/>
      <c r="H519" s="480"/>
      <c r="I519" s="494" t="s">
        <v>357</v>
      </c>
      <c r="J519" s="536" t="s">
        <v>964</v>
      </c>
      <c r="K519" s="546">
        <v>279797.8</v>
      </c>
      <c r="L519" s="546">
        <v>121838</v>
      </c>
      <c r="M519" s="519"/>
      <c r="N519" s="519"/>
      <c r="O519" s="519"/>
      <c r="P519" s="519"/>
      <c r="Q519" s="496"/>
      <c r="R519" s="496"/>
      <c r="S519" s="482"/>
      <c r="T519" s="482"/>
      <c r="U519" s="482"/>
      <c r="V519" s="482"/>
      <c r="W519" s="482"/>
      <c r="X519" s="519"/>
      <c r="Y519" s="519"/>
      <c r="Z519" s="519"/>
      <c r="AA519" s="519"/>
      <c r="AB519" s="496"/>
      <c r="AC519" s="496"/>
      <c r="AD519" s="519"/>
      <c r="AE519" s="519"/>
      <c r="AF519" s="519"/>
      <c r="AG519" s="519"/>
      <c r="AH519" s="482"/>
      <c r="AI519" s="482"/>
      <c r="AJ519" s="482"/>
      <c r="AK519" s="482"/>
      <c r="AL519" s="482"/>
      <c r="AM519" s="482"/>
      <c r="AN519" s="482"/>
      <c r="AO519" s="482"/>
      <c r="AP519" s="520">
        <f>AQ519</f>
        <v>0</v>
      </c>
      <c r="AQ519" s="520"/>
      <c r="AR519" s="520"/>
      <c r="AS519" s="519"/>
      <c r="AT519" s="536" t="s">
        <v>739</v>
      </c>
      <c r="AU519" s="788"/>
      <c r="AV519" s="788"/>
      <c r="AW519" s="789"/>
      <c r="AX519" s="487"/>
      <c r="AY519" s="487"/>
      <c r="AZ519" s="487"/>
      <c r="BA519" s="487"/>
      <c r="BG519" s="488"/>
    </row>
    <row r="520" spans="1:59" s="13" customFormat="1" ht="59.25" customHeight="1">
      <c r="B520" s="828" t="s">
        <v>740</v>
      </c>
      <c r="C520" s="828"/>
      <c r="D520" s="828"/>
      <c r="E520" s="828"/>
      <c r="F520" s="828"/>
      <c r="G520" s="828"/>
      <c r="H520" s="828"/>
      <c r="I520" s="828"/>
      <c r="J520" s="828"/>
      <c r="K520" s="828"/>
      <c r="L520" s="828"/>
      <c r="M520" s="828"/>
      <c r="N520" s="828"/>
      <c r="O520" s="828"/>
      <c r="P520" s="828"/>
      <c r="Q520" s="828"/>
      <c r="R520" s="828"/>
      <c r="S520" s="828"/>
      <c r="T520" s="828"/>
      <c r="U520" s="828"/>
      <c r="V520" s="828"/>
      <c r="W520" s="828"/>
      <c r="X520" s="828"/>
      <c r="Y520" s="828"/>
      <c r="Z520" s="828"/>
      <c r="AA520" s="828"/>
      <c r="AB520" s="828"/>
      <c r="AC520" s="828"/>
      <c r="AD520" s="828"/>
      <c r="AE520" s="828"/>
      <c r="AF520" s="828"/>
      <c r="AG520" s="828"/>
      <c r="AH520" s="828"/>
      <c r="AI520" s="828"/>
      <c r="AJ520" s="828"/>
      <c r="AK520" s="828"/>
      <c r="AL520" s="828"/>
      <c r="AM520" s="828"/>
      <c r="AN520" s="828"/>
      <c r="AO520" s="828"/>
      <c r="AP520" s="828"/>
      <c r="AQ520" s="828"/>
      <c r="AR520" s="828"/>
      <c r="AS520" s="828"/>
      <c r="AT520" s="828"/>
      <c r="AU520" s="477"/>
      <c r="AV520" s="477"/>
      <c r="AW520" s="477"/>
    </row>
    <row r="521" spans="1:59" ht="59.25" customHeight="1">
      <c r="A521" s="201"/>
      <c r="B521" s="201"/>
      <c r="C521" s="201"/>
      <c r="D521" s="201"/>
      <c r="E521" s="201"/>
      <c r="F521" s="201"/>
      <c r="G521" s="201"/>
      <c r="H521" s="201"/>
      <c r="I521" s="201"/>
      <c r="K521" s="201"/>
      <c r="L521" s="201"/>
      <c r="AX521" s="201"/>
      <c r="AY521" s="201"/>
      <c r="AZ521" s="201"/>
      <c r="BA521" s="201"/>
    </row>
    <row r="522" spans="1:59">
      <c r="A522" s="201"/>
      <c r="B522" s="201"/>
      <c r="C522" s="201"/>
      <c r="D522" s="201"/>
      <c r="E522" s="201"/>
      <c r="F522" s="201"/>
      <c r="G522" s="201"/>
      <c r="H522" s="201"/>
      <c r="I522" s="201"/>
      <c r="K522" s="201"/>
      <c r="L522" s="201"/>
      <c r="X522" s="440" t="s">
        <v>315</v>
      </c>
      <c r="AX522" s="201"/>
      <c r="AY522" s="201"/>
      <c r="AZ522" s="201"/>
      <c r="BA522" s="201"/>
    </row>
    <row r="523" spans="1:59">
      <c r="A523" s="201"/>
      <c r="B523" s="201"/>
      <c r="C523" s="201"/>
      <c r="D523" s="201"/>
      <c r="E523" s="201"/>
      <c r="F523" s="201"/>
      <c r="G523" s="201"/>
      <c r="H523" s="201"/>
      <c r="I523" s="201"/>
      <c r="K523" s="201"/>
      <c r="L523" s="201"/>
      <c r="M523" s="201"/>
      <c r="N523" s="201"/>
      <c r="O523" s="201"/>
      <c r="P523" s="201"/>
      <c r="Q523" s="213"/>
      <c r="R523" s="213"/>
      <c r="AX523" s="201"/>
      <c r="AY523" s="201"/>
      <c r="AZ523" s="201"/>
      <c r="BA523" s="201"/>
    </row>
    <row r="524" spans="1:59">
      <c r="A524" s="201"/>
      <c r="B524" s="201"/>
      <c r="C524" s="201"/>
      <c r="D524" s="201"/>
      <c r="E524" s="201"/>
      <c r="F524" s="201"/>
      <c r="G524" s="201"/>
      <c r="H524" s="201"/>
      <c r="I524" s="201"/>
      <c r="K524" s="201"/>
      <c r="L524" s="201"/>
      <c r="M524" s="201"/>
      <c r="N524" s="201"/>
      <c r="O524" s="201"/>
      <c r="P524" s="201"/>
      <c r="Q524" s="213"/>
      <c r="R524" s="213"/>
      <c r="AX524" s="201"/>
      <c r="AY524" s="201"/>
      <c r="AZ524" s="201"/>
      <c r="BA524" s="201"/>
    </row>
    <row r="525" spans="1:59">
      <c r="A525" s="201"/>
      <c r="B525" s="201"/>
      <c r="C525" s="201"/>
      <c r="D525" s="201"/>
      <c r="E525" s="201"/>
      <c r="F525" s="201"/>
      <c r="G525" s="201"/>
      <c r="H525" s="201"/>
      <c r="I525" s="201"/>
      <c r="K525" s="201"/>
      <c r="L525" s="201"/>
      <c r="M525" s="201"/>
      <c r="N525" s="201"/>
      <c r="O525" s="201"/>
      <c r="P525" s="201"/>
      <c r="Q525" s="213"/>
      <c r="R525" s="213"/>
      <c r="AX525" s="201"/>
      <c r="AY525" s="201"/>
      <c r="AZ525" s="201"/>
      <c r="BA525" s="201"/>
    </row>
    <row r="526" spans="1:59">
      <c r="A526" s="201"/>
      <c r="B526" s="201"/>
      <c r="C526" s="201"/>
      <c r="D526" s="201"/>
      <c r="E526" s="201"/>
      <c r="F526" s="201"/>
      <c r="G526" s="201"/>
      <c r="H526" s="201"/>
      <c r="I526" s="201"/>
      <c r="K526" s="201"/>
      <c r="L526" s="201"/>
      <c r="M526" s="201"/>
      <c r="N526" s="201"/>
      <c r="O526" s="201"/>
      <c r="P526" s="201"/>
      <c r="Q526" s="213"/>
      <c r="R526" s="213"/>
      <c r="AX526" s="201"/>
      <c r="AY526" s="201"/>
      <c r="AZ526" s="201"/>
      <c r="BA526" s="201"/>
    </row>
    <row r="527" spans="1:59">
      <c r="A527" s="201"/>
      <c r="B527" s="201"/>
      <c r="C527" s="201"/>
      <c r="D527" s="201"/>
      <c r="E527" s="201"/>
      <c r="F527" s="201"/>
      <c r="G527" s="201"/>
      <c r="H527" s="201"/>
      <c r="I527" s="201"/>
      <c r="K527" s="201"/>
      <c r="L527" s="201"/>
      <c r="M527" s="201"/>
      <c r="N527" s="201"/>
      <c r="O527" s="201"/>
      <c r="P527" s="201"/>
      <c r="Q527" s="213"/>
      <c r="R527" s="213"/>
      <c r="AX527" s="201"/>
      <c r="AY527" s="201"/>
      <c r="AZ527" s="201"/>
      <c r="BA527" s="201"/>
    </row>
    <row r="528" spans="1:59">
      <c r="A528" s="201"/>
      <c r="B528" s="201"/>
      <c r="C528" s="201"/>
      <c r="D528" s="201"/>
      <c r="E528" s="201"/>
      <c r="F528" s="201"/>
      <c r="G528" s="201"/>
      <c r="H528" s="201"/>
      <c r="I528" s="201"/>
      <c r="K528" s="201"/>
      <c r="L528" s="201"/>
      <c r="M528" s="201"/>
      <c r="N528" s="201"/>
      <c r="O528" s="201"/>
      <c r="P528" s="201"/>
      <c r="Q528" s="213"/>
      <c r="R528" s="213"/>
      <c r="AX528" s="201"/>
      <c r="AY528" s="201"/>
      <c r="AZ528" s="201"/>
      <c r="BA528" s="201"/>
    </row>
    <row r="529" spans="1:53">
      <c r="A529" s="201"/>
      <c r="B529" s="201"/>
      <c r="C529" s="201"/>
      <c r="D529" s="201"/>
      <c r="E529" s="201"/>
      <c r="F529" s="201"/>
      <c r="G529" s="201"/>
      <c r="H529" s="201"/>
      <c r="I529" s="201"/>
      <c r="K529" s="201"/>
      <c r="L529" s="201"/>
      <c r="M529" s="201"/>
      <c r="N529" s="201"/>
      <c r="O529" s="201"/>
      <c r="P529" s="201"/>
      <c r="Q529" s="213"/>
      <c r="R529" s="213"/>
      <c r="AX529" s="201"/>
      <c r="AY529" s="201"/>
      <c r="AZ529" s="201"/>
      <c r="BA529" s="201"/>
    </row>
    <row r="530" spans="1:53">
      <c r="A530" s="201"/>
      <c r="B530" s="201"/>
      <c r="C530" s="201"/>
      <c r="D530" s="201"/>
      <c r="E530" s="201"/>
      <c r="F530" s="201"/>
      <c r="G530" s="201"/>
      <c r="H530" s="201"/>
      <c r="I530" s="201"/>
      <c r="K530" s="201"/>
      <c r="L530" s="201"/>
      <c r="M530" s="201"/>
      <c r="N530" s="201"/>
      <c r="O530" s="201"/>
      <c r="P530" s="201"/>
      <c r="Q530" s="213"/>
      <c r="R530" s="213"/>
      <c r="AX530" s="201"/>
      <c r="AY530" s="201"/>
      <c r="AZ530" s="201"/>
      <c r="BA530" s="201"/>
    </row>
    <row r="531" spans="1:53">
      <c r="A531" s="201"/>
      <c r="B531" s="201"/>
      <c r="C531" s="201"/>
      <c r="D531" s="201"/>
      <c r="E531" s="201"/>
      <c r="F531" s="201"/>
      <c r="G531" s="201"/>
      <c r="H531" s="201"/>
      <c r="I531" s="201"/>
      <c r="K531" s="201"/>
      <c r="L531" s="201"/>
      <c r="M531" s="201"/>
      <c r="N531" s="201"/>
      <c r="O531" s="201"/>
      <c r="P531" s="201"/>
      <c r="Q531" s="213"/>
      <c r="R531" s="213"/>
      <c r="AX531" s="201"/>
      <c r="AY531" s="201"/>
      <c r="AZ531" s="201"/>
      <c r="BA531" s="201"/>
    </row>
    <row r="532" spans="1:53">
      <c r="A532" s="201"/>
      <c r="B532" s="201"/>
      <c r="C532" s="201"/>
      <c r="D532" s="201"/>
      <c r="E532" s="201"/>
      <c r="F532" s="201"/>
      <c r="G532" s="201"/>
      <c r="H532" s="201"/>
      <c r="I532" s="201"/>
      <c r="K532" s="201"/>
      <c r="L532" s="201"/>
      <c r="M532" s="201"/>
      <c r="N532" s="201"/>
      <c r="O532" s="201"/>
      <c r="P532" s="201"/>
      <c r="Q532" s="213"/>
      <c r="R532" s="213"/>
      <c r="AX532" s="201"/>
      <c r="AY532" s="201"/>
      <c r="AZ532" s="201"/>
      <c r="BA532" s="201"/>
    </row>
    <row r="533" spans="1:53">
      <c r="A533" s="201"/>
      <c r="B533" s="201"/>
      <c r="C533" s="201"/>
      <c r="D533" s="201"/>
      <c r="E533" s="201"/>
      <c r="F533" s="201"/>
      <c r="G533" s="201"/>
      <c r="H533" s="201"/>
      <c r="I533" s="201"/>
      <c r="K533" s="201"/>
      <c r="L533" s="201"/>
      <c r="M533" s="201"/>
      <c r="N533" s="201"/>
      <c r="O533" s="201"/>
      <c r="P533" s="201"/>
      <c r="Q533" s="213"/>
      <c r="R533" s="213"/>
      <c r="AX533" s="201"/>
      <c r="AY533" s="201"/>
      <c r="AZ533" s="201"/>
      <c r="BA533" s="201"/>
    </row>
    <row r="534" spans="1:53">
      <c r="A534" s="201"/>
      <c r="B534" s="201"/>
      <c r="C534" s="201"/>
      <c r="D534" s="201"/>
      <c r="E534" s="201"/>
      <c r="F534" s="201"/>
      <c r="G534" s="201"/>
      <c r="H534" s="201"/>
      <c r="I534" s="201"/>
      <c r="K534" s="201"/>
      <c r="L534" s="201"/>
      <c r="M534" s="201"/>
      <c r="N534" s="201"/>
      <c r="O534" s="201"/>
      <c r="P534" s="201"/>
      <c r="Q534" s="213"/>
      <c r="R534" s="213"/>
      <c r="AX534" s="201"/>
      <c r="AY534" s="201"/>
      <c r="AZ534" s="201"/>
      <c r="BA534" s="201"/>
    </row>
    <row r="535" spans="1:53">
      <c r="A535" s="201"/>
      <c r="B535" s="201"/>
      <c r="C535" s="201"/>
      <c r="D535" s="201"/>
      <c r="E535" s="201"/>
      <c r="F535" s="201"/>
      <c r="G535" s="201"/>
      <c r="H535" s="201"/>
      <c r="I535" s="201"/>
      <c r="K535" s="201"/>
      <c r="L535" s="201"/>
      <c r="M535" s="201"/>
      <c r="N535" s="201"/>
      <c r="O535" s="201"/>
      <c r="P535" s="201"/>
      <c r="Q535" s="213"/>
      <c r="R535" s="213"/>
      <c r="AX535" s="201"/>
      <c r="AY535" s="201"/>
      <c r="AZ535" s="201"/>
      <c r="BA535" s="201"/>
    </row>
    <row r="536" spans="1:53">
      <c r="A536" s="201"/>
      <c r="B536" s="201"/>
      <c r="C536" s="201"/>
      <c r="D536" s="201"/>
      <c r="E536" s="201"/>
      <c r="F536" s="201"/>
      <c r="G536" s="201"/>
      <c r="H536" s="201"/>
      <c r="I536" s="201"/>
      <c r="K536" s="201"/>
      <c r="L536" s="201"/>
      <c r="M536" s="201"/>
      <c r="N536" s="201"/>
      <c r="O536" s="201"/>
      <c r="P536" s="201"/>
      <c r="Q536" s="213"/>
      <c r="R536" s="213"/>
      <c r="AX536" s="201"/>
      <c r="AY536" s="201"/>
      <c r="AZ536" s="201"/>
      <c r="BA536" s="201"/>
    </row>
    <row r="537" spans="1:53">
      <c r="A537" s="201"/>
      <c r="B537" s="201"/>
      <c r="C537" s="201"/>
      <c r="D537" s="201"/>
      <c r="E537" s="201"/>
      <c r="F537" s="201"/>
      <c r="G537" s="201"/>
      <c r="H537" s="201"/>
      <c r="I537" s="201"/>
      <c r="K537" s="201"/>
      <c r="L537" s="201"/>
      <c r="M537" s="201"/>
      <c r="N537" s="201"/>
      <c r="O537" s="201"/>
      <c r="P537" s="201"/>
      <c r="Q537" s="213"/>
      <c r="R537" s="213"/>
      <c r="AX537" s="201"/>
      <c r="AY537" s="201"/>
      <c r="AZ537" s="201"/>
      <c r="BA537" s="201"/>
    </row>
    <row r="538" spans="1:53">
      <c r="A538" s="201"/>
      <c r="B538" s="201"/>
      <c r="C538" s="201"/>
      <c r="D538" s="201"/>
      <c r="E538" s="201"/>
      <c r="F538" s="201"/>
      <c r="G538" s="201"/>
      <c r="H538" s="201"/>
      <c r="I538" s="201"/>
      <c r="K538" s="201"/>
      <c r="L538" s="201"/>
      <c r="M538" s="201"/>
      <c r="N538" s="201"/>
      <c r="O538" s="201"/>
      <c r="P538" s="201"/>
      <c r="Q538" s="213"/>
      <c r="R538" s="213"/>
      <c r="AX538" s="201"/>
      <c r="AY538" s="201"/>
      <c r="AZ538" s="201"/>
      <c r="BA538" s="201"/>
    </row>
    <row r="539" spans="1:53">
      <c r="A539" s="201"/>
      <c r="B539" s="201"/>
      <c r="C539" s="201"/>
      <c r="D539" s="201"/>
      <c r="E539" s="201"/>
      <c r="F539" s="201"/>
      <c r="G539" s="201"/>
      <c r="H539" s="201"/>
      <c r="I539" s="201"/>
      <c r="K539" s="201"/>
      <c r="L539" s="201"/>
      <c r="M539" s="201"/>
      <c r="N539" s="201"/>
      <c r="O539" s="201"/>
      <c r="P539" s="201"/>
      <c r="Q539" s="213"/>
      <c r="R539" s="213"/>
      <c r="AX539" s="201"/>
      <c r="AY539" s="201"/>
      <c r="AZ539" s="201"/>
      <c r="BA539" s="201"/>
    </row>
    <row r="540" spans="1:53">
      <c r="A540" s="201"/>
      <c r="B540" s="201"/>
      <c r="C540" s="201"/>
      <c r="D540" s="201"/>
      <c r="E540" s="201"/>
      <c r="F540" s="201"/>
      <c r="G540" s="201"/>
      <c r="H540" s="201"/>
      <c r="I540" s="201"/>
      <c r="K540" s="201"/>
      <c r="L540" s="201"/>
      <c r="M540" s="201"/>
      <c r="N540" s="201"/>
      <c r="O540" s="201"/>
      <c r="P540" s="201"/>
      <c r="Q540" s="213"/>
      <c r="R540" s="213"/>
      <c r="AX540" s="201"/>
      <c r="AY540" s="201"/>
      <c r="AZ540" s="201"/>
      <c r="BA540" s="201"/>
    </row>
    <row r="541" spans="1:53">
      <c r="A541" s="201"/>
      <c r="B541" s="201"/>
      <c r="C541" s="201"/>
      <c r="D541" s="201"/>
      <c r="E541" s="201"/>
      <c r="F541" s="201"/>
      <c r="G541" s="201"/>
      <c r="H541" s="201"/>
      <c r="I541" s="201"/>
      <c r="K541" s="201"/>
      <c r="L541" s="201"/>
      <c r="M541" s="201"/>
      <c r="N541" s="201"/>
      <c r="O541" s="201"/>
      <c r="P541" s="201"/>
      <c r="Q541" s="213"/>
      <c r="R541" s="213"/>
      <c r="AX541" s="201"/>
      <c r="AY541" s="201"/>
      <c r="AZ541" s="201"/>
      <c r="BA541" s="201"/>
    </row>
    <row r="542" spans="1:53">
      <c r="A542" s="201"/>
      <c r="B542" s="201"/>
      <c r="C542" s="201"/>
      <c r="D542" s="201"/>
      <c r="E542" s="201"/>
      <c r="F542" s="201"/>
      <c r="G542" s="201"/>
      <c r="H542" s="201"/>
      <c r="I542" s="201"/>
      <c r="K542" s="201"/>
      <c r="L542" s="201"/>
      <c r="M542" s="201"/>
      <c r="N542" s="201"/>
      <c r="O542" s="201"/>
      <c r="P542" s="201"/>
      <c r="Q542" s="213"/>
      <c r="R542" s="213"/>
      <c r="AX542" s="201"/>
      <c r="AY542" s="201"/>
      <c r="AZ542" s="201"/>
      <c r="BA542" s="201"/>
    </row>
    <row r="543" spans="1:53">
      <c r="A543" s="201"/>
      <c r="B543" s="201"/>
      <c r="C543" s="201"/>
      <c r="D543" s="201"/>
      <c r="E543" s="201"/>
      <c r="F543" s="201"/>
      <c r="G543" s="201"/>
      <c r="H543" s="201"/>
      <c r="I543" s="201"/>
      <c r="K543" s="201"/>
      <c r="L543" s="201"/>
      <c r="M543" s="201"/>
      <c r="N543" s="201"/>
      <c r="O543" s="201"/>
      <c r="P543" s="201"/>
      <c r="Q543" s="213"/>
      <c r="R543" s="213"/>
      <c r="AX543" s="201"/>
      <c r="AY543" s="201"/>
      <c r="AZ543" s="201"/>
      <c r="BA543" s="201"/>
    </row>
    <row r="544" spans="1:53">
      <c r="A544" s="201"/>
      <c r="B544" s="201"/>
      <c r="C544" s="201"/>
      <c r="D544" s="201"/>
      <c r="E544" s="201"/>
      <c r="F544" s="201"/>
      <c r="G544" s="201"/>
      <c r="H544" s="201"/>
      <c r="I544" s="201"/>
      <c r="K544" s="201"/>
      <c r="L544" s="201"/>
      <c r="M544" s="201"/>
      <c r="N544" s="201"/>
      <c r="O544" s="201"/>
      <c r="P544" s="201"/>
      <c r="Q544" s="213"/>
      <c r="R544" s="213"/>
      <c r="AX544" s="201"/>
      <c r="AY544" s="201"/>
      <c r="AZ544" s="201"/>
      <c r="BA544" s="201"/>
    </row>
    <row r="545" spans="1:53">
      <c r="A545" s="201"/>
      <c r="B545" s="201"/>
      <c r="C545" s="201"/>
      <c r="D545" s="201"/>
      <c r="E545" s="201"/>
      <c r="F545" s="201"/>
      <c r="G545" s="201"/>
      <c r="H545" s="201"/>
      <c r="I545" s="201"/>
      <c r="K545" s="201"/>
      <c r="L545" s="201"/>
      <c r="M545" s="201"/>
      <c r="N545" s="201"/>
      <c r="O545" s="201"/>
      <c r="P545" s="201"/>
      <c r="Q545" s="213"/>
      <c r="R545" s="213"/>
      <c r="AX545" s="201"/>
      <c r="AY545" s="201"/>
      <c r="AZ545" s="201"/>
      <c r="BA545" s="201"/>
    </row>
    <row r="546" spans="1:53">
      <c r="A546" s="201"/>
      <c r="B546" s="201"/>
      <c r="C546" s="201"/>
      <c r="D546" s="201"/>
      <c r="E546" s="201"/>
      <c r="F546" s="201"/>
      <c r="G546" s="201"/>
      <c r="H546" s="201"/>
      <c r="I546" s="201"/>
      <c r="K546" s="201"/>
      <c r="L546" s="201"/>
      <c r="M546" s="201"/>
      <c r="N546" s="201"/>
      <c r="O546" s="201"/>
      <c r="P546" s="201"/>
      <c r="Q546" s="213"/>
      <c r="R546" s="213"/>
      <c r="AX546" s="201"/>
      <c r="AY546" s="201"/>
      <c r="AZ546" s="201"/>
      <c r="BA546" s="201"/>
    </row>
    <row r="547" spans="1:53">
      <c r="A547" s="201"/>
      <c r="B547" s="201"/>
      <c r="C547" s="201"/>
      <c r="D547" s="201"/>
      <c r="E547" s="201"/>
      <c r="F547" s="201"/>
      <c r="G547" s="201"/>
      <c r="H547" s="201"/>
      <c r="I547" s="201"/>
      <c r="K547" s="201"/>
      <c r="L547" s="201"/>
      <c r="M547" s="201"/>
      <c r="N547" s="201"/>
      <c r="O547" s="201"/>
      <c r="P547" s="201"/>
      <c r="Q547" s="213"/>
      <c r="R547" s="213"/>
      <c r="AX547" s="201"/>
      <c r="AY547" s="201"/>
      <c r="AZ547" s="201"/>
      <c r="BA547" s="201"/>
    </row>
    <row r="548" spans="1:53">
      <c r="A548" s="201"/>
      <c r="B548" s="201"/>
      <c r="C548" s="201"/>
      <c r="D548" s="201"/>
      <c r="E548" s="201"/>
      <c r="F548" s="201"/>
      <c r="G548" s="201"/>
      <c r="H548" s="201"/>
      <c r="I548" s="201"/>
      <c r="K548" s="201"/>
      <c r="L548" s="201"/>
      <c r="M548" s="201"/>
      <c r="N548" s="201"/>
      <c r="O548" s="201"/>
      <c r="P548" s="201"/>
      <c r="Q548" s="213"/>
      <c r="R548" s="213"/>
      <c r="AX548" s="201"/>
      <c r="AY548" s="201"/>
      <c r="AZ548" s="201"/>
      <c r="BA548" s="201"/>
    </row>
    <row r="549" spans="1:53">
      <c r="A549" s="201"/>
      <c r="B549" s="201"/>
      <c r="C549" s="201"/>
      <c r="D549" s="201"/>
      <c r="E549" s="201"/>
      <c r="F549" s="201"/>
      <c r="G549" s="201"/>
      <c r="H549" s="201"/>
      <c r="I549" s="201"/>
      <c r="K549" s="201"/>
      <c r="L549" s="201"/>
      <c r="M549" s="201"/>
      <c r="N549" s="201"/>
      <c r="O549" s="201"/>
      <c r="P549" s="201"/>
      <c r="Q549" s="213"/>
      <c r="R549" s="213"/>
      <c r="AX549" s="201"/>
      <c r="AY549" s="201"/>
      <c r="AZ549" s="201"/>
      <c r="BA549" s="201"/>
    </row>
    <row r="550" spans="1:53">
      <c r="A550" s="201"/>
      <c r="B550" s="201"/>
      <c r="C550" s="201"/>
      <c r="D550" s="201"/>
      <c r="E550" s="201"/>
      <c r="F550" s="201"/>
      <c r="G550" s="201"/>
      <c r="H550" s="201"/>
      <c r="I550" s="201"/>
      <c r="K550" s="201"/>
      <c r="L550" s="201"/>
      <c r="M550" s="201"/>
      <c r="N550" s="201"/>
      <c r="O550" s="201"/>
      <c r="P550" s="201"/>
      <c r="Q550" s="213"/>
      <c r="R550" s="213"/>
      <c r="AX550" s="201"/>
      <c r="AY550" s="201"/>
      <c r="AZ550" s="201"/>
      <c r="BA550" s="201"/>
    </row>
    <row r="551" spans="1:53">
      <c r="A551" s="201"/>
      <c r="B551" s="201"/>
      <c r="C551" s="201"/>
      <c r="D551" s="201"/>
      <c r="E551" s="201"/>
      <c r="F551" s="201"/>
      <c r="G551" s="201"/>
      <c r="H551" s="201"/>
      <c r="I551" s="201"/>
      <c r="K551" s="201"/>
      <c r="L551" s="201"/>
      <c r="M551" s="201"/>
      <c r="N551" s="201"/>
      <c r="O551" s="201"/>
      <c r="P551" s="201"/>
      <c r="Q551" s="213"/>
      <c r="R551" s="213"/>
      <c r="AX551" s="201"/>
      <c r="AY551" s="201"/>
      <c r="AZ551" s="201"/>
      <c r="BA551" s="201"/>
    </row>
    <row r="552" spans="1:53">
      <c r="A552" s="201"/>
      <c r="B552" s="201"/>
      <c r="C552" s="201"/>
      <c r="D552" s="201"/>
      <c r="E552" s="201"/>
      <c r="F552" s="201"/>
      <c r="G552" s="201"/>
      <c r="H552" s="201"/>
      <c r="I552" s="201"/>
      <c r="K552" s="201"/>
      <c r="L552" s="201"/>
      <c r="M552" s="201"/>
      <c r="N552" s="201"/>
      <c r="O552" s="201"/>
      <c r="P552" s="201"/>
      <c r="Q552" s="213"/>
      <c r="R552" s="213"/>
      <c r="AX552" s="201"/>
      <c r="AY552" s="201"/>
      <c r="AZ552" s="201"/>
      <c r="BA552" s="201"/>
    </row>
    <row r="553" spans="1:53">
      <c r="A553" s="201"/>
      <c r="B553" s="201"/>
      <c r="C553" s="201"/>
      <c r="D553" s="201"/>
      <c r="E553" s="201"/>
      <c r="F553" s="201"/>
      <c r="G553" s="201"/>
      <c r="H553" s="201"/>
      <c r="I553" s="201"/>
      <c r="K553" s="201"/>
      <c r="L553" s="201"/>
      <c r="M553" s="201"/>
      <c r="N553" s="201"/>
      <c r="O553" s="201"/>
      <c r="P553" s="201"/>
      <c r="Q553" s="213"/>
      <c r="R553" s="213"/>
      <c r="AX553" s="201"/>
      <c r="AY553" s="201"/>
      <c r="AZ553" s="201"/>
      <c r="BA553" s="201"/>
    </row>
    <row r="554" spans="1:53">
      <c r="A554" s="201"/>
      <c r="B554" s="201"/>
      <c r="C554" s="201"/>
      <c r="D554" s="201"/>
      <c r="E554" s="201"/>
      <c r="F554" s="201"/>
      <c r="G554" s="201"/>
      <c r="H554" s="201"/>
      <c r="I554" s="201"/>
      <c r="K554" s="201"/>
      <c r="L554" s="201"/>
      <c r="M554" s="201"/>
      <c r="N554" s="201"/>
      <c r="O554" s="201"/>
      <c r="P554" s="201"/>
      <c r="Q554" s="213"/>
      <c r="R554" s="213"/>
      <c r="AX554" s="201"/>
      <c r="AY554" s="201"/>
      <c r="AZ554" s="201"/>
      <c r="BA554" s="201"/>
    </row>
    <row r="555" spans="1:53">
      <c r="A555" s="201"/>
      <c r="B555" s="201"/>
      <c r="C555" s="201"/>
      <c r="D555" s="201"/>
      <c r="E555" s="201"/>
      <c r="F555" s="201"/>
      <c r="G555" s="201"/>
      <c r="H555" s="201"/>
      <c r="I555" s="201"/>
      <c r="K555" s="201"/>
      <c r="L555" s="201"/>
      <c r="M555" s="201"/>
      <c r="N555" s="201"/>
      <c r="O555" s="201"/>
      <c r="P555" s="201"/>
      <c r="Q555" s="213"/>
      <c r="R555" s="213"/>
      <c r="AX555" s="201"/>
      <c r="AY555" s="201"/>
      <c r="AZ555" s="201"/>
      <c r="BA555" s="201"/>
    </row>
    <row r="556" spans="1:53">
      <c r="A556" s="201"/>
      <c r="B556" s="201"/>
      <c r="C556" s="201"/>
      <c r="D556" s="201"/>
      <c r="E556" s="201"/>
      <c r="F556" s="201"/>
      <c r="G556" s="201"/>
      <c r="H556" s="201"/>
      <c r="I556" s="201"/>
      <c r="K556" s="201"/>
      <c r="L556" s="201"/>
      <c r="M556" s="201"/>
      <c r="N556" s="201"/>
      <c r="O556" s="201"/>
      <c r="P556" s="201"/>
      <c r="Q556" s="213"/>
      <c r="R556" s="213"/>
      <c r="AX556" s="201"/>
      <c r="AY556" s="201"/>
      <c r="AZ556" s="201"/>
      <c r="BA556" s="201"/>
    </row>
    <row r="557" spans="1:53">
      <c r="A557" s="201"/>
      <c r="B557" s="201"/>
      <c r="C557" s="201"/>
      <c r="D557" s="201"/>
      <c r="E557" s="201"/>
      <c r="F557" s="201"/>
      <c r="G557" s="201"/>
      <c r="H557" s="201"/>
      <c r="I557" s="201"/>
      <c r="K557" s="201"/>
      <c r="L557" s="201"/>
      <c r="M557" s="201"/>
      <c r="N557" s="201"/>
      <c r="O557" s="201"/>
      <c r="P557" s="201"/>
      <c r="Q557" s="213"/>
      <c r="R557" s="213"/>
      <c r="AX557" s="201"/>
      <c r="AY557" s="201"/>
      <c r="AZ557" s="201"/>
      <c r="BA557" s="201"/>
    </row>
    <row r="558" spans="1:53">
      <c r="A558" s="201"/>
      <c r="B558" s="201"/>
      <c r="C558" s="201"/>
      <c r="D558" s="201"/>
      <c r="E558" s="201"/>
      <c r="F558" s="201"/>
      <c r="G558" s="201"/>
      <c r="H558" s="201"/>
      <c r="I558" s="201"/>
      <c r="K558" s="201"/>
      <c r="L558" s="201"/>
      <c r="M558" s="201"/>
      <c r="N558" s="201"/>
      <c r="O558" s="201"/>
      <c r="P558" s="201"/>
      <c r="Q558" s="213"/>
      <c r="R558" s="213"/>
      <c r="AX558" s="201"/>
      <c r="AY558" s="201"/>
      <c r="AZ558" s="201"/>
      <c r="BA558" s="201"/>
    </row>
    <row r="559" spans="1:53">
      <c r="A559" s="201"/>
      <c r="B559" s="201"/>
      <c r="C559" s="201"/>
      <c r="D559" s="201"/>
      <c r="E559" s="201"/>
      <c r="F559" s="201"/>
      <c r="G559" s="201"/>
      <c r="H559" s="201"/>
      <c r="I559" s="201"/>
      <c r="K559" s="201"/>
      <c r="L559" s="201"/>
      <c r="M559" s="201"/>
      <c r="N559" s="201"/>
      <c r="O559" s="201"/>
      <c r="P559" s="201"/>
      <c r="Q559" s="213"/>
      <c r="R559" s="213"/>
      <c r="AX559" s="201"/>
      <c r="AY559" s="201"/>
      <c r="AZ559" s="201"/>
      <c r="BA559" s="201"/>
    </row>
    <row r="560" spans="1:53">
      <c r="A560" s="201"/>
      <c r="B560" s="201"/>
      <c r="C560" s="201"/>
      <c r="D560" s="201"/>
      <c r="E560" s="201"/>
      <c r="F560" s="201"/>
      <c r="G560" s="201"/>
      <c r="H560" s="201"/>
      <c r="I560" s="201"/>
      <c r="K560" s="201"/>
      <c r="L560" s="201"/>
      <c r="M560" s="201"/>
      <c r="N560" s="201"/>
      <c r="O560" s="201"/>
      <c r="P560" s="201"/>
      <c r="Q560" s="213"/>
      <c r="R560" s="213"/>
      <c r="AX560" s="201"/>
      <c r="AY560" s="201"/>
      <c r="AZ560" s="201"/>
      <c r="BA560" s="201"/>
    </row>
    <row r="561" spans="1:53">
      <c r="A561" s="201"/>
      <c r="B561" s="201"/>
      <c r="C561" s="201"/>
      <c r="D561" s="201"/>
      <c r="E561" s="201"/>
      <c r="F561" s="201"/>
      <c r="G561" s="201"/>
      <c r="H561" s="201"/>
      <c r="I561" s="201"/>
      <c r="K561" s="201"/>
      <c r="L561" s="201"/>
      <c r="M561" s="201"/>
      <c r="N561" s="201"/>
      <c r="O561" s="201"/>
      <c r="P561" s="201"/>
      <c r="Q561" s="213"/>
      <c r="R561" s="213"/>
      <c r="AX561" s="201"/>
      <c r="AY561" s="201"/>
      <c r="AZ561" s="201"/>
      <c r="BA561" s="201"/>
    </row>
    <row r="562" spans="1:53">
      <c r="A562" s="201"/>
      <c r="B562" s="201"/>
      <c r="C562" s="201"/>
      <c r="D562" s="201"/>
      <c r="E562" s="201"/>
      <c r="F562" s="201"/>
      <c r="G562" s="201"/>
      <c r="H562" s="201"/>
      <c r="I562" s="201"/>
      <c r="K562" s="201"/>
      <c r="L562" s="201"/>
      <c r="M562" s="201"/>
      <c r="N562" s="201"/>
      <c r="O562" s="201"/>
      <c r="P562" s="201"/>
      <c r="Q562" s="213"/>
      <c r="R562" s="213"/>
      <c r="AX562" s="201"/>
      <c r="AY562" s="201"/>
      <c r="AZ562" s="201"/>
      <c r="BA562" s="201"/>
    </row>
    <row r="563" spans="1:53">
      <c r="A563" s="201"/>
      <c r="B563" s="201"/>
      <c r="C563" s="201"/>
      <c r="D563" s="201"/>
      <c r="E563" s="201"/>
      <c r="F563" s="201"/>
      <c r="G563" s="201"/>
      <c r="H563" s="201"/>
      <c r="I563" s="201"/>
      <c r="K563" s="201"/>
      <c r="L563" s="201"/>
      <c r="M563" s="201"/>
      <c r="N563" s="201"/>
      <c r="O563" s="201"/>
      <c r="P563" s="201"/>
      <c r="Q563" s="213"/>
      <c r="R563" s="213"/>
      <c r="AX563" s="201"/>
      <c r="AY563" s="201"/>
      <c r="AZ563" s="201"/>
      <c r="BA563" s="201"/>
    </row>
    <row r="564" spans="1:53">
      <c r="A564" s="201"/>
      <c r="B564" s="201"/>
      <c r="C564" s="201"/>
      <c r="D564" s="201"/>
      <c r="E564" s="201"/>
      <c r="F564" s="201"/>
      <c r="G564" s="201"/>
      <c r="H564" s="201"/>
      <c r="I564" s="201"/>
      <c r="K564" s="201"/>
      <c r="L564" s="201"/>
      <c r="M564" s="201"/>
      <c r="N564" s="201"/>
      <c r="O564" s="201"/>
      <c r="P564" s="201"/>
      <c r="Q564" s="213"/>
      <c r="R564" s="213"/>
      <c r="AX564" s="201"/>
      <c r="AY564" s="201"/>
      <c r="AZ564" s="201"/>
      <c r="BA564" s="201"/>
    </row>
    <row r="565" spans="1:53">
      <c r="A565" s="201"/>
      <c r="B565" s="201"/>
      <c r="C565" s="201"/>
      <c r="D565" s="201"/>
      <c r="E565" s="201"/>
      <c r="F565" s="201"/>
      <c r="G565" s="201"/>
      <c r="H565" s="201"/>
      <c r="I565" s="201"/>
      <c r="K565" s="201"/>
      <c r="L565" s="201"/>
      <c r="M565" s="201"/>
      <c r="N565" s="201"/>
      <c r="O565" s="201"/>
      <c r="P565" s="201"/>
      <c r="Q565" s="213"/>
      <c r="R565" s="213"/>
      <c r="AX565" s="201"/>
      <c r="AY565" s="201"/>
      <c r="AZ565" s="201"/>
      <c r="BA565" s="201"/>
    </row>
    <row r="566" spans="1:53">
      <c r="A566" s="201"/>
      <c r="B566" s="201"/>
      <c r="C566" s="201"/>
      <c r="D566" s="201"/>
      <c r="E566" s="201"/>
      <c r="F566" s="201"/>
      <c r="G566" s="201"/>
      <c r="H566" s="201"/>
      <c r="I566" s="201"/>
      <c r="K566" s="201"/>
      <c r="L566" s="201"/>
      <c r="M566" s="201"/>
      <c r="N566" s="201"/>
      <c r="O566" s="201"/>
      <c r="P566" s="201"/>
      <c r="Q566" s="213"/>
      <c r="R566" s="213"/>
      <c r="AX566" s="201"/>
      <c r="AY566" s="201"/>
      <c r="AZ566" s="201"/>
      <c r="BA566" s="201"/>
    </row>
    <row r="567" spans="1:53">
      <c r="A567" s="201"/>
      <c r="B567" s="201"/>
      <c r="C567" s="201"/>
      <c r="D567" s="201"/>
      <c r="E567" s="201"/>
      <c r="F567" s="201"/>
      <c r="G567" s="201"/>
      <c r="H567" s="201"/>
      <c r="I567" s="201"/>
      <c r="K567" s="201"/>
      <c r="L567" s="201"/>
      <c r="M567" s="201"/>
      <c r="N567" s="201"/>
      <c r="O567" s="201"/>
      <c r="P567" s="201"/>
      <c r="Q567" s="213"/>
      <c r="R567" s="213"/>
      <c r="AX567" s="201"/>
      <c r="AY567" s="201"/>
      <c r="AZ567" s="201"/>
      <c r="BA567" s="201"/>
    </row>
    <row r="568" spans="1:53">
      <c r="A568" s="201"/>
      <c r="B568" s="201"/>
      <c r="C568" s="201"/>
      <c r="D568" s="201"/>
      <c r="E568" s="201"/>
      <c r="F568" s="201"/>
      <c r="G568" s="201"/>
      <c r="H568" s="201"/>
      <c r="I568" s="201"/>
      <c r="K568" s="201"/>
      <c r="L568" s="201"/>
      <c r="M568" s="201"/>
      <c r="N568" s="201"/>
      <c r="O568" s="201"/>
      <c r="P568" s="201"/>
      <c r="Q568" s="213"/>
      <c r="R568" s="213"/>
      <c r="AX568" s="201"/>
      <c r="AY568" s="201"/>
      <c r="AZ568" s="201"/>
      <c r="BA568" s="201"/>
    </row>
    <row r="569" spans="1:53">
      <c r="A569" s="201"/>
      <c r="B569" s="201"/>
      <c r="C569" s="201"/>
      <c r="D569" s="201"/>
      <c r="E569" s="201"/>
      <c r="F569" s="201"/>
      <c r="G569" s="201"/>
      <c r="H569" s="201"/>
      <c r="I569" s="201"/>
      <c r="K569" s="201"/>
      <c r="L569" s="201"/>
      <c r="M569" s="201"/>
      <c r="N569" s="201"/>
      <c r="O569" s="201"/>
      <c r="P569" s="201"/>
      <c r="Q569" s="213"/>
      <c r="R569" s="213"/>
      <c r="AX569" s="201"/>
      <c r="AY569" s="201"/>
      <c r="AZ569" s="201"/>
      <c r="BA569" s="201"/>
    </row>
    <row r="570" spans="1:53">
      <c r="A570" s="201"/>
      <c r="B570" s="201"/>
      <c r="C570" s="201"/>
      <c r="D570" s="201"/>
      <c r="E570" s="201"/>
      <c r="F570" s="201"/>
      <c r="G570" s="201"/>
      <c r="H570" s="201"/>
      <c r="I570" s="201"/>
      <c r="K570" s="201"/>
      <c r="L570" s="201"/>
      <c r="M570" s="201"/>
      <c r="N570" s="201"/>
      <c r="O570" s="201"/>
      <c r="P570" s="201"/>
      <c r="Q570" s="213"/>
      <c r="R570" s="213"/>
      <c r="AX570" s="201"/>
      <c r="AY570" s="201"/>
      <c r="AZ570" s="201"/>
      <c r="BA570" s="201"/>
    </row>
    <row r="571" spans="1:53">
      <c r="A571" s="201"/>
      <c r="B571" s="201"/>
      <c r="C571" s="201"/>
      <c r="D571" s="201"/>
      <c r="E571" s="201"/>
      <c r="F571" s="201"/>
      <c r="G571" s="201"/>
      <c r="H571" s="201"/>
      <c r="I571" s="201"/>
      <c r="K571" s="201"/>
      <c r="L571" s="201"/>
      <c r="M571" s="201"/>
      <c r="N571" s="201"/>
      <c r="O571" s="201"/>
      <c r="P571" s="201"/>
      <c r="Q571" s="213"/>
      <c r="R571" s="213"/>
      <c r="AX571" s="201"/>
      <c r="AY571" s="201"/>
      <c r="AZ571" s="201"/>
      <c r="BA571" s="201"/>
    </row>
    <row r="572" spans="1:53">
      <c r="A572" s="201"/>
      <c r="B572" s="201"/>
      <c r="C572" s="201"/>
      <c r="D572" s="201"/>
      <c r="E572" s="201"/>
      <c r="F572" s="201"/>
      <c r="G572" s="201"/>
      <c r="H572" s="201"/>
      <c r="I572" s="201"/>
      <c r="K572" s="201"/>
      <c r="L572" s="201"/>
      <c r="M572" s="201"/>
      <c r="N572" s="201"/>
      <c r="O572" s="201"/>
      <c r="P572" s="201"/>
      <c r="Q572" s="213"/>
      <c r="R572" s="213"/>
      <c r="AX572" s="201"/>
      <c r="AY572" s="201"/>
      <c r="AZ572" s="201"/>
      <c r="BA572" s="201"/>
    </row>
    <row r="573" spans="1:53">
      <c r="A573" s="201"/>
      <c r="B573" s="201"/>
      <c r="C573" s="201"/>
      <c r="D573" s="201"/>
      <c r="E573" s="201"/>
      <c r="F573" s="201"/>
      <c r="G573" s="201"/>
      <c r="H573" s="201"/>
      <c r="I573" s="201"/>
      <c r="K573" s="201"/>
      <c r="L573" s="201"/>
      <c r="M573" s="201"/>
      <c r="N573" s="201"/>
      <c r="O573" s="201"/>
      <c r="P573" s="201"/>
      <c r="Q573" s="213"/>
      <c r="R573" s="213"/>
      <c r="AX573" s="201"/>
      <c r="AY573" s="201"/>
      <c r="AZ573" s="201"/>
      <c r="BA573" s="201"/>
    </row>
    <row r="574" spans="1:53">
      <c r="A574" s="201"/>
      <c r="B574" s="201"/>
      <c r="C574" s="201"/>
      <c r="D574" s="201"/>
      <c r="E574" s="201"/>
      <c r="F574" s="201"/>
      <c r="G574" s="201"/>
      <c r="H574" s="201"/>
      <c r="I574" s="201"/>
      <c r="K574" s="201"/>
      <c r="L574" s="201"/>
      <c r="M574" s="201"/>
      <c r="N574" s="201"/>
      <c r="O574" s="201"/>
      <c r="P574" s="201"/>
      <c r="Q574" s="213"/>
      <c r="R574" s="213"/>
      <c r="AX574" s="201"/>
      <c r="AY574" s="201"/>
      <c r="AZ574" s="201"/>
      <c r="BA574" s="201"/>
    </row>
    <row r="575" spans="1:53">
      <c r="A575" s="201"/>
      <c r="B575" s="201"/>
      <c r="C575" s="201"/>
      <c r="D575" s="201"/>
      <c r="E575" s="201"/>
      <c r="F575" s="201"/>
      <c r="G575" s="201"/>
      <c r="H575" s="201"/>
      <c r="I575" s="201"/>
      <c r="K575" s="201"/>
      <c r="L575" s="201"/>
      <c r="M575" s="201"/>
      <c r="N575" s="201"/>
      <c r="O575" s="201"/>
      <c r="P575" s="201"/>
      <c r="Q575" s="213"/>
      <c r="R575" s="213"/>
      <c r="AX575" s="201"/>
      <c r="AY575" s="201"/>
      <c r="AZ575" s="201"/>
      <c r="BA575" s="201"/>
    </row>
    <row r="576" spans="1:53">
      <c r="A576" s="201"/>
      <c r="B576" s="201"/>
      <c r="C576" s="201"/>
      <c r="D576" s="201"/>
      <c r="E576" s="201"/>
      <c r="F576" s="201"/>
      <c r="G576" s="201"/>
      <c r="H576" s="201"/>
      <c r="I576" s="201"/>
      <c r="K576" s="201"/>
      <c r="L576" s="201"/>
      <c r="M576" s="201"/>
      <c r="N576" s="201"/>
      <c r="O576" s="201"/>
      <c r="P576" s="201"/>
      <c r="Q576" s="213"/>
      <c r="R576" s="213"/>
      <c r="AX576" s="201"/>
      <c r="AY576" s="201"/>
      <c r="AZ576" s="201"/>
      <c r="BA576" s="201"/>
    </row>
    <row r="577" spans="1:53">
      <c r="A577" s="201"/>
      <c r="B577" s="201"/>
      <c r="C577" s="201"/>
      <c r="D577" s="201"/>
      <c r="E577" s="201"/>
      <c r="F577" s="201"/>
      <c r="G577" s="201"/>
      <c r="H577" s="201"/>
      <c r="I577" s="201"/>
      <c r="K577" s="201"/>
      <c r="L577" s="201"/>
      <c r="M577" s="201"/>
      <c r="N577" s="201"/>
      <c r="O577" s="201"/>
      <c r="P577" s="201"/>
      <c r="Q577" s="213"/>
      <c r="R577" s="213"/>
      <c r="AX577" s="201"/>
      <c r="AY577" s="201"/>
      <c r="AZ577" s="201"/>
      <c r="BA577" s="201"/>
    </row>
    <row r="578" spans="1:53">
      <c r="A578" s="201"/>
      <c r="B578" s="201"/>
      <c r="C578" s="201"/>
      <c r="D578" s="201"/>
      <c r="E578" s="201"/>
      <c r="F578" s="201"/>
      <c r="G578" s="201"/>
      <c r="H578" s="201"/>
      <c r="I578" s="201"/>
      <c r="K578" s="201"/>
      <c r="L578" s="201"/>
      <c r="M578" s="201"/>
      <c r="N578" s="201"/>
      <c r="O578" s="201"/>
      <c r="P578" s="201"/>
      <c r="Q578" s="213"/>
      <c r="R578" s="213"/>
      <c r="AX578" s="201"/>
      <c r="AY578" s="201"/>
      <c r="AZ578" s="201"/>
      <c r="BA578" s="201"/>
    </row>
    <row r="579" spans="1:53">
      <c r="A579" s="201"/>
      <c r="B579" s="201"/>
      <c r="C579" s="201"/>
      <c r="D579" s="201"/>
      <c r="E579" s="201"/>
      <c r="F579" s="201"/>
      <c r="G579" s="201"/>
      <c r="H579" s="201"/>
      <c r="I579" s="201"/>
      <c r="K579" s="201"/>
      <c r="L579" s="201"/>
      <c r="M579" s="201"/>
      <c r="N579" s="201"/>
      <c r="O579" s="201"/>
      <c r="P579" s="201"/>
      <c r="Q579" s="213"/>
      <c r="R579" s="213"/>
      <c r="AX579" s="201"/>
      <c r="AY579" s="201"/>
      <c r="AZ579" s="201"/>
      <c r="BA579" s="201"/>
    </row>
    <row r="580" spans="1:53">
      <c r="A580" s="201"/>
      <c r="B580" s="201"/>
      <c r="C580" s="201"/>
      <c r="D580" s="201"/>
      <c r="E580" s="201"/>
      <c r="F580" s="201"/>
      <c r="G580" s="201"/>
      <c r="H580" s="201"/>
      <c r="I580" s="201"/>
      <c r="K580" s="201"/>
      <c r="L580" s="201"/>
      <c r="M580" s="201"/>
      <c r="N580" s="201"/>
      <c r="O580" s="201"/>
      <c r="P580" s="201"/>
      <c r="Q580" s="213"/>
      <c r="R580" s="213"/>
      <c r="AX580" s="201"/>
      <c r="AY580" s="201"/>
      <c r="AZ580" s="201"/>
      <c r="BA580" s="201"/>
    </row>
    <row r="581" spans="1:53">
      <c r="A581" s="201"/>
      <c r="B581" s="201"/>
      <c r="C581" s="201"/>
      <c r="D581" s="201"/>
      <c r="E581" s="201"/>
      <c r="F581" s="201"/>
      <c r="G581" s="201"/>
      <c r="H581" s="201"/>
      <c r="I581" s="201"/>
      <c r="K581" s="201"/>
      <c r="L581" s="201"/>
      <c r="M581" s="201"/>
      <c r="N581" s="201"/>
      <c r="O581" s="201"/>
      <c r="P581" s="201"/>
      <c r="Q581" s="213"/>
      <c r="R581" s="213"/>
      <c r="AX581" s="201"/>
      <c r="AY581" s="201"/>
      <c r="AZ581" s="201"/>
      <c r="BA581" s="201"/>
    </row>
    <row r="582" spans="1:53">
      <c r="A582" s="201"/>
      <c r="B582" s="201"/>
      <c r="C582" s="201"/>
      <c r="D582" s="201"/>
      <c r="E582" s="201"/>
      <c r="F582" s="201"/>
      <c r="G582" s="201"/>
      <c r="H582" s="201"/>
      <c r="I582" s="201"/>
      <c r="K582" s="201"/>
      <c r="L582" s="201"/>
      <c r="M582" s="201"/>
      <c r="N582" s="201"/>
      <c r="O582" s="201"/>
      <c r="P582" s="201"/>
      <c r="Q582" s="213"/>
      <c r="R582" s="213"/>
      <c r="AX582" s="201"/>
      <c r="AY582" s="201"/>
      <c r="AZ582" s="201"/>
      <c r="BA582" s="201"/>
    </row>
    <row r="583" spans="1:53">
      <c r="A583" s="201"/>
      <c r="B583" s="201"/>
      <c r="C583" s="201"/>
      <c r="D583" s="201"/>
      <c r="E583" s="201"/>
      <c r="F583" s="201"/>
      <c r="G583" s="201"/>
      <c r="H583" s="201"/>
      <c r="I583" s="201"/>
      <c r="K583" s="201"/>
      <c r="L583" s="201"/>
      <c r="M583" s="201"/>
      <c r="N583" s="201"/>
      <c r="O583" s="201"/>
      <c r="P583" s="201"/>
      <c r="Q583" s="213"/>
      <c r="R583" s="213"/>
      <c r="AX583" s="201"/>
      <c r="AY583" s="201"/>
      <c r="AZ583" s="201"/>
      <c r="BA583" s="201"/>
    </row>
    <row r="584" spans="1:53">
      <c r="A584" s="201"/>
      <c r="B584" s="201"/>
      <c r="C584" s="201"/>
      <c r="D584" s="201"/>
      <c r="E584" s="201"/>
      <c r="F584" s="201"/>
      <c r="G584" s="201"/>
      <c r="H584" s="201"/>
      <c r="I584" s="201"/>
      <c r="K584" s="201"/>
      <c r="L584" s="201"/>
      <c r="M584" s="201"/>
      <c r="N584" s="201"/>
      <c r="O584" s="201"/>
      <c r="P584" s="201"/>
      <c r="Q584" s="213"/>
      <c r="R584" s="213"/>
      <c r="AX584" s="201"/>
      <c r="AY584" s="201"/>
      <c r="AZ584" s="201"/>
      <c r="BA584" s="201"/>
    </row>
    <row r="585" spans="1:53">
      <c r="A585" s="201"/>
      <c r="B585" s="201"/>
      <c r="C585" s="201"/>
      <c r="D585" s="201"/>
      <c r="E585" s="201"/>
      <c r="F585" s="201"/>
      <c r="G585" s="201"/>
      <c r="H585" s="201"/>
      <c r="I585" s="201"/>
      <c r="K585" s="201"/>
      <c r="L585" s="201"/>
      <c r="M585" s="201"/>
      <c r="N585" s="201"/>
      <c r="O585" s="201"/>
      <c r="P585" s="201"/>
      <c r="Q585" s="213"/>
      <c r="R585" s="213"/>
      <c r="AX585" s="201"/>
      <c r="AY585" s="201"/>
      <c r="AZ585" s="201"/>
      <c r="BA585" s="201"/>
    </row>
    <row r="586" spans="1:53">
      <c r="A586" s="201"/>
      <c r="B586" s="201"/>
      <c r="C586" s="201"/>
      <c r="D586" s="201"/>
      <c r="E586" s="201"/>
      <c r="F586" s="201"/>
      <c r="G586" s="201"/>
      <c r="H586" s="201"/>
      <c r="I586" s="201"/>
      <c r="K586" s="201"/>
      <c r="L586" s="201"/>
      <c r="M586" s="201"/>
      <c r="N586" s="201"/>
      <c r="O586" s="201"/>
      <c r="P586" s="201"/>
      <c r="Q586" s="213"/>
      <c r="R586" s="213"/>
      <c r="AX586" s="201"/>
      <c r="AY586" s="201"/>
      <c r="AZ586" s="201"/>
      <c r="BA586" s="201"/>
    </row>
    <row r="587" spans="1:53">
      <c r="A587" s="201"/>
      <c r="B587" s="201"/>
      <c r="C587" s="201"/>
      <c r="D587" s="201"/>
      <c r="E587" s="201"/>
      <c r="F587" s="201"/>
      <c r="G587" s="201"/>
      <c r="H587" s="201"/>
      <c r="I587" s="201"/>
      <c r="K587" s="201"/>
      <c r="L587" s="201"/>
      <c r="M587" s="201"/>
      <c r="N587" s="201"/>
      <c r="O587" s="201"/>
      <c r="P587" s="201"/>
      <c r="Q587" s="213"/>
      <c r="R587" s="213"/>
      <c r="AX587" s="201"/>
      <c r="AY587" s="201"/>
      <c r="AZ587" s="201"/>
      <c r="BA587" s="201"/>
    </row>
    <row r="588" spans="1:53">
      <c r="A588" s="201"/>
      <c r="B588" s="201"/>
      <c r="C588" s="201"/>
      <c r="D588" s="201"/>
      <c r="E588" s="201"/>
      <c r="F588" s="201"/>
      <c r="G588" s="201"/>
      <c r="H588" s="201"/>
      <c r="I588" s="201"/>
      <c r="K588" s="201"/>
      <c r="L588" s="201"/>
      <c r="M588" s="201"/>
      <c r="N588" s="201"/>
      <c r="O588" s="201"/>
      <c r="P588" s="201"/>
      <c r="Q588" s="213"/>
      <c r="R588" s="213"/>
      <c r="AX588" s="201"/>
      <c r="AY588" s="201"/>
      <c r="AZ588" s="201"/>
      <c r="BA588" s="201"/>
    </row>
    <row r="589" spans="1:53">
      <c r="A589" s="201"/>
      <c r="B589" s="201"/>
      <c r="C589" s="201"/>
      <c r="D589" s="201"/>
      <c r="E589" s="201"/>
      <c r="F589" s="201"/>
      <c r="G589" s="201"/>
      <c r="H589" s="201"/>
      <c r="I589" s="201"/>
      <c r="K589" s="201"/>
      <c r="L589" s="201"/>
      <c r="M589" s="201"/>
      <c r="N589" s="201"/>
      <c r="O589" s="201"/>
      <c r="P589" s="201"/>
      <c r="Q589" s="213"/>
      <c r="R589" s="213"/>
      <c r="AX589" s="201"/>
      <c r="AY589" s="201"/>
      <c r="AZ589" s="201"/>
      <c r="BA589" s="201"/>
    </row>
    <row r="590" spans="1:53">
      <c r="A590" s="201"/>
      <c r="B590" s="201"/>
      <c r="C590" s="201"/>
      <c r="D590" s="201"/>
      <c r="E590" s="201"/>
      <c r="F590" s="201"/>
      <c r="G590" s="201"/>
      <c r="H590" s="201"/>
      <c r="I590" s="201"/>
      <c r="K590" s="201"/>
      <c r="L590" s="201"/>
      <c r="M590" s="201"/>
      <c r="N590" s="201"/>
      <c r="O590" s="201"/>
      <c r="P590" s="201"/>
      <c r="Q590" s="213"/>
      <c r="R590" s="213"/>
      <c r="AX590" s="201"/>
      <c r="AY590" s="201"/>
      <c r="AZ590" s="201"/>
      <c r="BA590" s="201"/>
    </row>
    <row r="591" spans="1:53">
      <c r="A591" s="201"/>
      <c r="B591" s="201"/>
      <c r="C591" s="201"/>
      <c r="D591" s="201"/>
      <c r="E591" s="201"/>
      <c r="F591" s="201"/>
      <c r="G591" s="201"/>
      <c r="H591" s="201"/>
      <c r="I591" s="201"/>
      <c r="K591" s="201"/>
      <c r="L591" s="201"/>
      <c r="M591" s="201"/>
      <c r="N591" s="201"/>
      <c r="O591" s="201"/>
      <c r="P591" s="201"/>
      <c r="Q591" s="213"/>
      <c r="R591" s="213"/>
      <c r="AX591" s="201"/>
      <c r="AY591" s="201"/>
      <c r="AZ591" s="201"/>
      <c r="BA591" s="201"/>
    </row>
    <row r="592" spans="1:53">
      <c r="A592" s="201"/>
      <c r="B592" s="201"/>
      <c r="C592" s="201"/>
      <c r="D592" s="201"/>
      <c r="E592" s="201"/>
      <c r="F592" s="201"/>
      <c r="G592" s="201"/>
      <c r="H592" s="201"/>
      <c r="I592" s="201"/>
      <c r="K592" s="201"/>
      <c r="L592" s="201"/>
      <c r="M592" s="201"/>
      <c r="N592" s="201"/>
      <c r="O592" s="201"/>
      <c r="P592" s="201"/>
      <c r="Q592" s="213"/>
      <c r="R592" s="213"/>
      <c r="AX592" s="201"/>
      <c r="AY592" s="201"/>
      <c r="AZ592" s="201"/>
      <c r="BA592" s="201"/>
    </row>
    <row r="593" spans="1:53">
      <c r="A593" s="201"/>
      <c r="B593" s="201"/>
      <c r="C593" s="201"/>
      <c r="D593" s="201"/>
      <c r="E593" s="201"/>
      <c r="F593" s="201"/>
      <c r="G593" s="201"/>
      <c r="H593" s="201"/>
      <c r="I593" s="201"/>
      <c r="K593" s="201"/>
      <c r="L593" s="201"/>
      <c r="M593" s="201"/>
      <c r="N593" s="201"/>
      <c r="O593" s="201"/>
      <c r="P593" s="201"/>
      <c r="Q593" s="213"/>
      <c r="R593" s="213"/>
      <c r="AX593" s="201"/>
      <c r="AY593" s="201"/>
      <c r="AZ593" s="201"/>
      <c r="BA593" s="201"/>
    </row>
    <row r="594" spans="1:53">
      <c r="A594" s="201"/>
      <c r="B594" s="201"/>
      <c r="C594" s="201"/>
      <c r="D594" s="201"/>
      <c r="E594" s="201"/>
      <c r="F594" s="201"/>
      <c r="G594" s="201"/>
      <c r="H594" s="201"/>
      <c r="I594" s="201"/>
      <c r="K594" s="201"/>
      <c r="L594" s="201"/>
      <c r="M594" s="201"/>
      <c r="N594" s="201"/>
      <c r="O594" s="201"/>
      <c r="P594" s="201"/>
      <c r="Q594" s="213"/>
      <c r="R594" s="213"/>
      <c r="AX594" s="201"/>
      <c r="AY594" s="201"/>
      <c r="AZ594" s="201"/>
      <c r="BA594" s="201"/>
    </row>
    <row r="595" spans="1:53">
      <c r="A595" s="201"/>
      <c r="B595" s="201"/>
      <c r="C595" s="201"/>
      <c r="D595" s="201"/>
      <c r="E595" s="201"/>
      <c r="F595" s="201"/>
      <c r="G595" s="201"/>
      <c r="H595" s="201"/>
      <c r="I595" s="201"/>
      <c r="K595" s="201"/>
      <c r="L595" s="201"/>
      <c r="M595" s="201"/>
      <c r="N595" s="201"/>
      <c r="O595" s="201"/>
      <c r="P595" s="201"/>
      <c r="Q595" s="213"/>
      <c r="R595" s="213"/>
      <c r="AX595" s="201"/>
      <c r="AY595" s="201"/>
      <c r="AZ595" s="201"/>
      <c r="BA595" s="201"/>
    </row>
    <row r="596" spans="1:53">
      <c r="A596" s="201"/>
      <c r="B596" s="201"/>
      <c r="C596" s="201"/>
      <c r="D596" s="201"/>
      <c r="E596" s="201"/>
      <c r="F596" s="201"/>
      <c r="G596" s="201"/>
      <c r="H596" s="201"/>
      <c r="I596" s="201"/>
      <c r="K596" s="201"/>
      <c r="L596" s="201"/>
      <c r="M596" s="201"/>
      <c r="N596" s="201"/>
      <c r="O596" s="201"/>
      <c r="P596" s="201"/>
      <c r="Q596" s="213"/>
      <c r="R596" s="213"/>
      <c r="AX596" s="201"/>
      <c r="AY596" s="201"/>
      <c r="AZ596" s="201"/>
      <c r="BA596" s="201"/>
    </row>
    <row r="597" spans="1:53">
      <c r="A597" s="201"/>
      <c r="B597" s="201"/>
      <c r="C597" s="201"/>
      <c r="D597" s="201"/>
      <c r="E597" s="201"/>
      <c r="F597" s="201"/>
      <c r="G597" s="201"/>
      <c r="H597" s="201"/>
      <c r="I597" s="201"/>
      <c r="K597" s="201"/>
      <c r="L597" s="201"/>
      <c r="M597" s="201"/>
      <c r="N597" s="201"/>
      <c r="O597" s="201"/>
      <c r="P597" s="201"/>
      <c r="Q597" s="213"/>
      <c r="R597" s="213"/>
      <c r="AX597" s="201"/>
      <c r="AY597" s="201"/>
      <c r="AZ597" s="201"/>
      <c r="BA597" s="201"/>
    </row>
    <row r="598" spans="1:53">
      <c r="A598" s="201"/>
      <c r="B598" s="201"/>
      <c r="C598" s="201"/>
      <c r="D598" s="201"/>
      <c r="E598" s="201"/>
      <c r="F598" s="201"/>
      <c r="G598" s="201"/>
      <c r="H598" s="201"/>
      <c r="I598" s="201"/>
      <c r="K598" s="201"/>
      <c r="L598" s="201"/>
      <c r="M598" s="201"/>
      <c r="N598" s="201"/>
      <c r="O598" s="201"/>
      <c r="P598" s="201"/>
      <c r="Q598" s="213"/>
      <c r="R598" s="213"/>
      <c r="AX598" s="201"/>
      <c r="AY598" s="201"/>
      <c r="AZ598" s="201"/>
      <c r="BA598" s="201"/>
    </row>
    <row r="599" spans="1:53">
      <c r="A599" s="201"/>
      <c r="B599" s="201"/>
      <c r="C599" s="201"/>
      <c r="D599" s="201"/>
      <c r="E599" s="201"/>
      <c r="F599" s="201"/>
      <c r="G599" s="201"/>
      <c r="H599" s="201"/>
      <c r="I599" s="201"/>
      <c r="K599" s="201"/>
      <c r="L599" s="201"/>
      <c r="M599" s="201"/>
      <c r="N599" s="201"/>
      <c r="O599" s="201"/>
      <c r="P599" s="201"/>
      <c r="Q599" s="213"/>
      <c r="R599" s="213"/>
      <c r="AX599" s="201"/>
      <c r="AY599" s="201"/>
      <c r="AZ599" s="201"/>
      <c r="BA599" s="201"/>
    </row>
    <row r="600" spans="1:53">
      <c r="A600" s="201"/>
      <c r="B600" s="201"/>
      <c r="C600" s="201"/>
      <c r="D600" s="201"/>
      <c r="E600" s="201"/>
      <c r="F600" s="201"/>
      <c r="G600" s="201"/>
      <c r="H600" s="201"/>
      <c r="I600" s="201"/>
      <c r="K600" s="201"/>
      <c r="L600" s="201"/>
      <c r="M600" s="201"/>
      <c r="N600" s="201"/>
      <c r="O600" s="201"/>
      <c r="P600" s="201"/>
      <c r="Q600" s="213"/>
      <c r="R600" s="213"/>
      <c r="AX600" s="201"/>
      <c r="AY600" s="201"/>
      <c r="AZ600" s="201"/>
      <c r="BA600" s="201"/>
    </row>
    <row r="601" spans="1:53">
      <c r="A601" s="201"/>
      <c r="B601" s="201"/>
      <c r="C601" s="201"/>
      <c r="D601" s="201"/>
      <c r="E601" s="201"/>
      <c r="F601" s="201"/>
      <c r="G601" s="201"/>
      <c r="H601" s="201"/>
      <c r="I601" s="201"/>
      <c r="K601" s="201"/>
      <c r="L601" s="201"/>
      <c r="M601" s="201"/>
      <c r="N601" s="201"/>
      <c r="O601" s="201"/>
      <c r="P601" s="201"/>
      <c r="Q601" s="213"/>
      <c r="R601" s="213"/>
      <c r="AX601" s="201"/>
      <c r="AY601" s="201"/>
      <c r="AZ601" s="201"/>
      <c r="BA601" s="201"/>
    </row>
    <row r="602" spans="1:53">
      <c r="A602" s="201"/>
      <c r="B602" s="201"/>
      <c r="C602" s="201"/>
      <c r="D602" s="201"/>
      <c r="E602" s="201"/>
      <c r="F602" s="201"/>
      <c r="G602" s="201"/>
      <c r="H602" s="201"/>
      <c r="I602" s="201"/>
      <c r="K602" s="201"/>
      <c r="L602" s="201"/>
      <c r="M602" s="201"/>
      <c r="N602" s="201"/>
      <c r="O602" s="201"/>
      <c r="P602" s="201"/>
      <c r="Q602" s="213"/>
      <c r="R602" s="213"/>
      <c r="AX602" s="201"/>
      <c r="AY602" s="201"/>
      <c r="AZ602" s="201"/>
      <c r="BA602" s="201"/>
    </row>
    <row r="603" spans="1:53">
      <c r="A603" s="201"/>
      <c r="B603" s="201"/>
      <c r="C603" s="201"/>
      <c r="D603" s="201"/>
      <c r="E603" s="201"/>
      <c r="F603" s="201"/>
      <c r="G603" s="201"/>
      <c r="H603" s="201"/>
      <c r="I603" s="201"/>
      <c r="K603" s="201"/>
      <c r="L603" s="201"/>
      <c r="M603" s="201"/>
      <c r="N603" s="201"/>
      <c r="O603" s="201"/>
      <c r="P603" s="201"/>
      <c r="Q603" s="213"/>
      <c r="R603" s="213"/>
      <c r="AX603" s="201"/>
      <c r="AY603" s="201"/>
      <c r="AZ603" s="201"/>
      <c r="BA603" s="201"/>
    </row>
    <row r="604" spans="1:53">
      <c r="A604" s="201"/>
      <c r="B604" s="201"/>
      <c r="C604" s="201"/>
      <c r="D604" s="201"/>
      <c r="E604" s="201"/>
      <c r="F604" s="201"/>
      <c r="G604" s="201"/>
      <c r="H604" s="201"/>
      <c r="I604" s="201"/>
      <c r="K604" s="201"/>
      <c r="L604" s="201"/>
      <c r="M604" s="201"/>
      <c r="N604" s="201"/>
      <c r="O604" s="201"/>
      <c r="P604" s="201"/>
      <c r="Q604" s="213"/>
      <c r="R604" s="213"/>
      <c r="AX604" s="201"/>
      <c r="AY604" s="201"/>
      <c r="AZ604" s="201"/>
      <c r="BA604" s="201"/>
    </row>
    <row r="605" spans="1:53">
      <c r="A605" s="201"/>
      <c r="B605" s="201"/>
      <c r="C605" s="201"/>
      <c r="D605" s="201"/>
      <c r="E605" s="201"/>
      <c r="F605" s="201"/>
      <c r="G605" s="201"/>
      <c r="H605" s="201"/>
      <c r="I605" s="201"/>
      <c r="K605" s="201"/>
      <c r="L605" s="201"/>
      <c r="M605" s="201"/>
      <c r="N605" s="201"/>
      <c r="O605" s="201"/>
      <c r="P605" s="201"/>
      <c r="Q605" s="213"/>
      <c r="R605" s="213"/>
      <c r="AX605" s="201"/>
      <c r="AY605" s="201"/>
      <c r="AZ605" s="201"/>
      <c r="BA605" s="201"/>
    </row>
    <row r="606" spans="1:53">
      <c r="A606" s="201"/>
      <c r="B606" s="201"/>
      <c r="C606" s="201"/>
      <c r="D606" s="201"/>
      <c r="E606" s="201"/>
      <c r="F606" s="201"/>
      <c r="G606" s="201"/>
      <c r="H606" s="201"/>
      <c r="I606" s="201"/>
      <c r="K606" s="201"/>
      <c r="L606" s="201"/>
      <c r="M606" s="201"/>
      <c r="N606" s="201"/>
      <c r="O606" s="201"/>
      <c r="P606" s="201"/>
      <c r="Q606" s="213"/>
      <c r="R606" s="213"/>
      <c r="AX606" s="201"/>
      <c r="AY606" s="201"/>
      <c r="AZ606" s="201"/>
      <c r="BA606" s="201"/>
    </row>
    <row r="607" spans="1:53">
      <c r="A607" s="201"/>
      <c r="B607" s="201"/>
      <c r="C607" s="201"/>
      <c r="D607" s="201"/>
      <c r="E607" s="201"/>
      <c r="F607" s="201"/>
      <c r="G607" s="201"/>
      <c r="H607" s="201"/>
      <c r="I607" s="201"/>
      <c r="K607" s="201"/>
      <c r="L607" s="201"/>
      <c r="M607" s="201"/>
      <c r="N607" s="201"/>
      <c r="O607" s="201"/>
      <c r="P607" s="201"/>
      <c r="Q607" s="213"/>
      <c r="R607" s="213"/>
      <c r="AX607" s="201"/>
      <c r="AY607" s="201"/>
      <c r="AZ607" s="201"/>
      <c r="BA607" s="201"/>
    </row>
    <row r="608" spans="1:53">
      <c r="A608" s="201"/>
      <c r="B608" s="201"/>
      <c r="C608" s="201"/>
      <c r="D608" s="201"/>
      <c r="E608" s="201"/>
      <c r="F608" s="201"/>
      <c r="G608" s="201"/>
      <c r="H608" s="201"/>
      <c r="I608" s="201"/>
      <c r="K608" s="201"/>
      <c r="L608" s="201"/>
      <c r="M608" s="201"/>
      <c r="N608" s="201"/>
      <c r="O608" s="201"/>
      <c r="P608" s="201"/>
      <c r="Q608" s="213"/>
      <c r="R608" s="213"/>
      <c r="AX608" s="201"/>
      <c r="AY608" s="201"/>
      <c r="AZ608" s="201"/>
      <c r="BA608" s="201"/>
    </row>
    <row r="609" spans="1:53">
      <c r="A609" s="201"/>
      <c r="B609" s="201"/>
      <c r="C609" s="201"/>
      <c r="D609" s="201"/>
      <c r="E609" s="201"/>
      <c r="F609" s="201"/>
      <c r="G609" s="201"/>
      <c r="H609" s="201"/>
      <c r="I609" s="201"/>
      <c r="K609" s="201"/>
      <c r="L609" s="201"/>
      <c r="M609" s="201"/>
      <c r="N609" s="201"/>
      <c r="O609" s="201"/>
      <c r="P609" s="201"/>
      <c r="Q609" s="213"/>
      <c r="R609" s="213"/>
      <c r="AX609" s="201"/>
      <c r="AY609" s="201"/>
      <c r="AZ609" s="201"/>
      <c r="BA609" s="201"/>
    </row>
    <row r="610" spans="1:53">
      <c r="A610" s="201"/>
      <c r="B610" s="201"/>
      <c r="C610" s="201"/>
      <c r="D610" s="201"/>
      <c r="E610" s="201"/>
      <c r="F610" s="201"/>
      <c r="G610" s="201"/>
      <c r="H610" s="201"/>
      <c r="I610" s="201"/>
      <c r="K610" s="201"/>
      <c r="L610" s="201"/>
      <c r="M610" s="201"/>
      <c r="N610" s="201"/>
      <c r="O610" s="201"/>
      <c r="P610" s="201"/>
      <c r="Q610" s="213"/>
      <c r="R610" s="213"/>
      <c r="AX610" s="201"/>
      <c r="AY610" s="201"/>
      <c r="AZ610" s="201"/>
      <c r="BA610" s="201"/>
    </row>
    <row r="611" spans="1:53">
      <c r="A611" s="201"/>
      <c r="B611" s="201"/>
      <c r="C611" s="201"/>
      <c r="D611" s="201"/>
      <c r="E611" s="201"/>
      <c r="F611" s="201"/>
      <c r="G611" s="201"/>
      <c r="H611" s="201"/>
      <c r="I611" s="201"/>
      <c r="K611" s="201"/>
      <c r="L611" s="201"/>
      <c r="M611" s="201"/>
      <c r="N611" s="201"/>
      <c r="O611" s="201"/>
      <c r="P611" s="201"/>
      <c r="Q611" s="213"/>
      <c r="R611" s="213"/>
      <c r="AX611" s="201"/>
      <c r="AY611" s="201"/>
      <c r="AZ611" s="201"/>
      <c r="BA611" s="201"/>
    </row>
    <row r="612" spans="1:53">
      <c r="A612" s="201"/>
      <c r="B612" s="201"/>
      <c r="C612" s="201"/>
      <c r="D612" s="201"/>
      <c r="E612" s="201"/>
      <c r="F612" s="201"/>
      <c r="G612" s="201"/>
      <c r="H612" s="201"/>
      <c r="I612" s="201"/>
      <c r="K612" s="201"/>
      <c r="L612" s="201"/>
      <c r="M612" s="201"/>
      <c r="N612" s="201"/>
      <c r="O612" s="201"/>
      <c r="P612" s="201"/>
      <c r="Q612" s="213"/>
      <c r="R612" s="213"/>
      <c r="AX612" s="201"/>
      <c r="AY612" s="201"/>
      <c r="AZ612" s="201"/>
      <c r="BA612" s="201"/>
    </row>
    <row r="613" spans="1:53">
      <c r="A613" s="201"/>
      <c r="B613" s="201"/>
      <c r="C613" s="201"/>
      <c r="D613" s="201"/>
      <c r="E613" s="201"/>
      <c r="F613" s="201"/>
      <c r="G613" s="201"/>
      <c r="H613" s="201"/>
      <c r="I613" s="201"/>
      <c r="K613" s="201"/>
      <c r="L613" s="201"/>
      <c r="M613" s="201"/>
      <c r="N613" s="201"/>
      <c r="O613" s="201"/>
      <c r="P613" s="201"/>
      <c r="Q613" s="213"/>
      <c r="R613" s="213"/>
      <c r="AX613" s="201"/>
      <c r="AY613" s="201"/>
      <c r="AZ613" s="201"/>
      <c r="BA613" s="201"/>
    </row>
    <row r="614" spans="1:53">
      <c r="A614" s="201"/>
      <c r="B614" s="201"/>
      <c r="C614" s="201"/>
      <c r="D614" s="201"/>
      <c r="E614" s="201"/>
      <c r="F614" s="201"/>
      <c r="G614" s="201"/>
      <c r="H614" s="201"/>
      <c r="I614" s="201"/>
      <c r="K614" s="201"/>
      <c r="L614" s="201"/>
      <c r="M614" s="201"/>
      <c r="N614" s="201"/>
      <c r="O614" s="201"/>
      <c r="P614" s="201"/>
      <c r="Q614" s="213"/>
      <c r="R614" s="213"/>
      <c r="AX614" s="201"/>
      <c r="AY614" s="201"/>
      <c r="AZ614" s="201"/>
      <c r="BA614" s="201"/>
    </row>
    <row r="615" spans="1:53">
      <c r="A615" s="201"/>
      <c r="B615" s="201"/>
      <c r="C615" s="201"/>
      <c r="D615" s="201"/>
      <c r="E615" s="201"/>
      <c r="F615" s="201"/>
      <c r="G615" s="201"/>
      <c r="H615" s="201"/>
      <c r="I615" s="201"/>
      <c r="K615" s="201"/>
      <c r="L615" s="201"/>
      <c r="M615" s="201"/>
      <c r="N615" s="201"/>
      <c r="O615" s="201"/>
      <c r="P615" s="201"/>
      <c r="Q615" s="213"/>
      <c r="R615" s="213"/>
      <c r="AX615" s="201"/>
      <c r="AY615" s="201"/>
      <c r="AZ615" s="201"/>
      <c r="BA615" s="201"/>
    </row>
    <row r="616" spans="1:53">
      <c r="A616" s="201"/>
      <c r="B616" s="201"/>
      <c r="C616" s="201"/>
      <c r="D616" s="201"/>
      <c r="E616" s="201"/>
      <c r="F616" s="201"/>
      <c r="G616" s="201"/>
      <c r="H616" s="201"/>
      <c r="I616" s="201"/>
      <c r="K616" s="201"/>
      <c r="L616" s="201"/>
      <c r="M616" s="201"/>
      <c r="N616" s="201"/>
      <c r="O616" s="201"/>
      <c r="P616" s="201"/>
      <c r="Q616" s="213"/>
      <c r="R616" s="213"/>
      <c r="AX616" s="201"/>
      <c r="AY616" s="201"/>
      <c r="AZ616" s="201"/>
      <c r="BA616" s="201"/>
    </row>
    <row r="617" spans="1:53">
      <c r="A617" s="201"/>
      <c r="B617" s="201"/>
      <c r="C617" s="201"/>
      <c r="D617" s="201"/>
      <c r="E617" s="201"/>
      <c r="F617" s="201"/>
      <c r="G617" s="201"/>
      <c r="H617" s="201"/>
      <c r="I617" s="201"/>
      <c r="K617" s="201"/>
      <c r="L617" s="201"/>
      <c r="M617" s="201"/>
      <c r="N617" s="201"/>
      <c r="O617" s="201"/>
      <c r="P617" s="201"/>
      <c r="Q617" s="213"/>
      <c r="R617" s="213"/>
      <c r="AX617" s="201"/>
      <c r="AY617" s="201"/>
      <c r="AZ617" s="201"/>
      <c r="BA617" s="201"/>
    </row>
    <row r="618" spans="1:53">
      <c r="A618" s="201"/>
      <c r="B618" s="201"/>
      <c r="C618" s="201"/>
      <c r="D618" s="201"/>
      <c r="E618" s="201"/>
      <c r="F618" s="201"/>
      <c r="G618" s="201"/>
      <c r="H618" s="201"/>
      <c r="I618" s="201"/>
      <c r="K618" s="201"/>
      <c r="L618" s="201"/>
      <c r="M618" s="201"/>
      <c r="N618" s="201"/>
      <c r="O618" s="201"/>
      <c r="P618" s="201"/>
      <c r="Q618" s="213"/>
      <c r="R618" s="213"/>
      <c r="AX618" s="201"/>
      <c r="AY618" s="201"/>
      <c r="AZ618" s="201"/>
      <c r="BA618" s="201"/>
    </row>
    <row r="619" spans="1:53">
      <c r="A619" s="201"/>
      <c r="B619" s="201"/>
      <c r="C619" s="201"/>
      <c r="D619" s="201"/>
      <c r="E619" s="201"/>
      <c r="F619" s="201"/>
      <c r="G619" s="201"/>
      <c r="H619" s="201"/>
      <c r="I619" s="201"/>
      <c r="K619" s="201"/>
      <c r="L619" s="201"/>
      <c r="M619" s="201"/>
      <c r="N619" s="201"/>
      <c r="O619" s="201"/>
      <c r="P619" s="201"/>
      <c r="Q619" s="213"/>
      <c r="R619" s="213"/>
      <c r="AX619" s="201"/>
      <c r="AY619" s="201"/>
      <c r="AZ619" s="201"/>
      <c r="BA619" s="201"/>
    </row>
    <row r="620" spans="1:53">
      <c r="A620" s="201"/>
      <c r="B620" s="201"/>
      <c r="C620" s="201"/>
      <c r="D620" s="201"/>
      <c r="E620" s="201"/>
      <c r="F620" s="201"/>
      <c r="G620" s="201"/>
      <c r="H620" s="201"/>
      <c r="I620" s="201"/>
      <c r="K620" s="201"/>
      <c r="L620" s="201"/>
      <c r="M620" s="201"/>
      <c r="N620" s="201"/>
      <c r="O620" s="201"/>
      <c r="P620" s="201"/>
      <c r="Q620" s="213"/>
      <c r="R620" s="213"/>
      <c r="AX620" s="201"/>
      <c r="AY620" s="201"/>
      <c r="AZ620" s="201"/>
      <c r="BA620" s="201"/>
    </row>
    <row r="621" spans="1:53">
      <c r="A621" s="201"/>
      <c r="B621" s="201"/>
      <c r="C621" s="201"/>
      <c r="D621" s="201"/>
      <c r="E621" s="201"/>
      <c r="F621" s="201"/>
      <c r="G621" s="201"/>
      <c r="H621" s="201"/>
      <c r="I621" s="201"/>
      <c r="K621" s="201"/>
      <c r="L621" s="201"/>
      <c r="M621" s="201"/>
      <c r="N621" s="201"/>
      <c r="O621" s="201"/>
      <c r="P621" s="201"/>
      <c r="Q621" s="213"/>
      <c r="R621" s="213"/>
      <c r="AX621" s="201"/>
      <c r="AY621" s="201"/>
      <c r="AZ621" s="201"/>
      <c r="BA621" s="201"/>
    </row>
    <row r="622" spans="1:53">
      <c r="A622" s="201"/>
      <c r="B622" s="201"/>
      <c r="C622" s="201"/>
      <c r="D622" s="201"/>
      <c r="E622" s="201"/>
      <c r="F622" s="201"/>
      <c r="G622" s="201"/>
      <c r="H622" s="201"/>
      <c r="I622" s="201"/>
      <c r="K622" s="201"/>
      <c r="L622" s="201"/>
      <c r="M622" s="201"/>
      <c r="N622" s="201"/>
      <c r="O622" s="201"/>
      <c r="P622" s="201"/>
      <c r="Q622" s="213"/>
      <c r="R622" s="213"/>
      <c r="AX622" s="201"/>
      <c r="AY622" s="201"/>
      <c r="AZ622" s="201"/>
      <c r="BA622" s="201"/>
    </row>
    <row r="623" spans="1:53">
      <c r="A623" s="201"/>
      <c r="B623" s="201"/>
      <c r="C623" s="201"/>
      <c r="D623" s="201"/>
      <c r="E623" s="201"/>
      <c r="F623" s="201"/>
      <c r="G623" s="201"/>
      <c r="H623" s="201"/>
      <c r="I623" s="201"/>
      <c r="K623" s="201"/>
      <c r="L623" s="201"/>
      <c r="M623" s="201"/>
      <c r="N623" s="201"/>
      <c r="O623" s="201"/>
      <c r="P623" s="201"/>
      <c r="Q623" s="213"/>
      <c r="R623" s="213"/>
      <c r="AX623" s="201"/>
      <c r="AY623" s="201"/>
      <c r="AZ623" s="201"/>
      <c r="BA623" s="201"/>
    </row>
    <row r="624" spans="1:53">
      <c r="A624" s="201"/>
      <c r="B624" s="201"/>
      <c r="C624" s="201"/>
      <c r="D624" s="201"/>
      <c r="E624" s="201"/>
      <c r="F624" s="201"/>
      <c r="G624" s="201"/>
      <c r="H624" s="201"/>
      <c r="I624" s="201"/>
      <c r="K624" s="201"/>
      <c r="L624" s="201"/>
      <c r="M624" s="201"/>
      <c r="N624" s="201"/>
      <c r="O624" s="201"/>
      <c r="P624" s="201"/>
      <c r="Q624" s="213"/>
      <c r="R624" s="213"/>
      <c r="AX624" s="201"/>
      <c r="AY624" s="201"/>
      <c r="AZ624" s="201"/>
      <c r="BA624" s="201"/>
    </row>
    <row r="625" spans="1:53">
      <c r="A625" s="201"/>
      <c r="B625" s="201"/>
      <c r="C625" s="201"/>
      <c r="D625" s="201"/>
      <c r="E625" s="201"/>
      <c r="F625" s="201"/>
      <c r="G625" s="201"/>
      <c r="H625" s="201"/>
      <c r="I625" s="201"/>
      <c r="K625" s="201"/>
      <c r="L625" s="201"/>
      <c r="M625" s="201"/>
      <c r="N625" s="201"/>
      <c r="O625" s="201"/>
      <c r="P625" s="201"/>
      <c r="Q625" s="213"/>
      <c r="R625" s="213"/>
      <c r="AX625" s="201"/>
      <c r="AY625" s="201"/>
      <c r="AZ625" s="201"/>
      <c r="BA625" s="201"/>
    </row>
    <row r="626" spans="1:53">
      <c r="A626" s="201"/>
      <c r="B626" s="201"/>
      <c r="C626" s="201"/>
      <c r="D626" s="201"/>
      <c r="E626" s="201"/>
      <c r="F626" s="201"/>
      <c r="G626" s="201"/>
      <c r="H626" s="201"/>
      <c r="I626" s="201"/>
      <c r="K626" s="201"/>
      <c r="L626" s="201"/>
      <c r="M626" s="201"/>
      <c r="N626" s="201"/>
      <c r="O626" s="201"/>
      <c r="P626" s="201"/>
      <c r="Q626" s="213"/>
      <c r="R626" s="213"/>
      <c r="AX626" s="201"/>
      <c r="AY626" s="201"/>
      <c r="AZ626" s="201"/>
      <c r="BA626" s="201"/>
    </row>
    <row r="627" spans="1:53">
      <c r="A627" s="201"/>
      <c r="B627" s="201"/>
      <c r="C627" s="201"/>
      <c r="D627" s="201"/>
      <c r="E627" s="201"/>
      <c r="F627" s="201"/>
      <c r="G627" s="201"/>
      <c r="H627" s="201"/>
      <c r="I627" s="201"/>
      <c r="K627" s="201"/>
      <c r="L627" s="201"/>
      <c r="M627" s="201"/>
      <c r="N627" s="201"/>
      <c r="O627" s="201"/>
      <c r="P627" s="201"/>
      <c r="Q627" s="213"/>
      <c r="R627" s="213"/>
      <c r="AX627" s="201"/>
      <c r="AY627" s="201"/>
      <c r="AZ627" s="201"/>
      <c r="BA627" s="201"/>
    </row>
    <row r="628" spans="1:53">
      <c r="A628" s="201"/>
      <c r="B628" s="201"/>
      <c r="C628" s="201"/>
      <c r="D628" s="201"/>
      <c r="E628" s="201"/>
      <c r="F628" s="201"/>
      <c r="G628" s="201"/>
      <c r="H628" s="201"/>
      <c r="I628" s="201"/>
      <c r="K628" s="201"/>
      <c r="L628" s="201"/>
      <c r="M628" s="201"/>
      <c r="N628" s="201"/>
      <c r="O628" s="201"/>
      <c r="P628" s="201"/>
      <c r="Q628" s="213"/>
      <c r="R628" s="213"/>
      <c r="AX628" s="201"/>
      <c r="AY628" s="201"/>
      <c r="AZ628" s="201"/>
      <c r="BA628" s="201"/>
    </row>
    <row r="629" spans="1:53">
      <c r="A629" s="201"/>
      <c r="B629" s="201"/>
      <c r="C629" s="201"/>
      <c r="D629" s="201"/>
      <c r="E629" s="201"/>
      <c r="F629" s="201"/>
      <c r="G629" s="201"/>
      <c r="H629" s="201"/>
      <c r="I629" s="201"/>
      <c r="K629" s="201"/>
      <c r="L629" s="201"/>
      <c r="M629" s="201"/>
      <c r="N629" s="201"/>
      <c r="O629" s="201"/>
      <c r="P629" s="201"/>
      <c r="Q629" s="213"/>
      <c r="R629" s="213"/>
      <c r="AX629" s="201"/>
      <c r="AY629" s="201"/>
      <c r="AZ629" s="201"/>
      <c r="BA629" s="201"/>
    </row>
    <row r="630" spans="1:53">
      <c r="A630" s="201"/>
      <c r="B630" s="201"/>
      <c r="C630" s="201"/>
      <c r="D630" s="201"/>
      <c r="E630" s="201"/>
      <c r="F630" s="201"/>
      <c r="G630" s="201"/>
      <c r="H630" s="201"/>
      <c r="I630" s="201"/>
      <c r="K630" s="201"/>
      <c r="L630" s="201"/>
      <c r="M630" s="201"/>
      <c r="N630" s="201"/>
      <c r="O630" s="201"/>
      <c r="P630" s="201"/>
      <c r="Q630" s="213"/>
      <c r="R630" s="213"/>
      <c r="AX630" s="201"/>
      <c r="AY630" s="201"/>
      <c r="AZ630" s="201"/>
      <c r="BA630" s="201"/>
    </row>
    <row r="631" spans="1:53">
      <c r="A631" s="201"/>
      <c r="B631" s="201"/>
      <c r="C631" s="201"/>
      <c r="D631" s="201"/>
      <c r="E631" s="201"/>
      <c r="F631" s="201"/>
      <c r="G631" s="201"/>
      <c r="H631" s="201"/>
      <c r="I631" s="201"/>
      <c r="K631" s="201"/>
      <c r="L631" s="201"/>
      <c r="M631" s="201"/>
      <c r="N631" s="201"/>
      <c r="O631" s="201"/>
      <c r="P631" s="201"/>
      <c r="Q631" s="213"/>
      <c r="R631" s="213"/>
      <c r="AX631" s="201"/>
      <c r="AY631" s="201"/>
      <c r="AZ631" s="201"/>
      <c r="BA631" s="201"/>
    </row>
    <row r="632" spans="1:53">
      <c r="A632" s="201"/>
      <c r="B632" s="201"/>
      <c r="C632" s="201"/>
      <c r="D632" s="201"/>
      <c r="E632" s="201"/>
      <c r="F632" s="201"/>
      <c r="G632" s="201"/>
      <c r="H632" s="201"/>
      <c r="I632" s="201"/>
      <c r="K632" s="201"/>
      <c r="L632" s="201"/>
      <c r="M632" s="201"/>
      <c r="N632" s="201"/>
      <c r="O632" s="201"/>
      <c r="P632" s="201"/>
      <c r="Q632" s="213"/>
      <c r="R632" s="213"/>
      <c r="AX632" s="201"/>
      <c r="AY632" s="201"/>
      <c r="AZ632" s="201"/>
      <c r="BA632" s="201"/>
    </row>
    <row r="633" spans="1:53">
      <c r="A633" s="201"/>
      <c r="B633" s="201"/>
      <c r="C633" s="201"/>
      <c r="D633" s="201"/>
      <c r="E633" s="201"/>
      <c r="F633" s="201"/>
      <c r="G633" s="201"/>
      <c r="H633" s="201"/>
      <c r="I633" s="201"/>
      <c r="K633" s="201"/>
      <c r="L633" s="201"/>
      <c r="M633" s="201"/>
      <c r="N633" s="201"/>
      <c r="O633" s="201"/>
      <c r="P633" s="201"/>
      <c r="Q633" s="213"/>
      <c r="R633" s="213"/>
      <c r="AX633" s="201"/>
      <c r="AY633" s="201"/>
      <c r="AZ633" s="201"/>
      <c r="BA633" s="201"/>
    </row>
    <row r="634" spans="1:53">
      <c r="A634" s="201"/>
      <c r="B634" s="201"/>
      <c r="C634" s="201"/>
      <c r="D634" s="201"/>
      <c r="E634" s="201"/>
      <c r="F634" s="201"/>
      <c r="G634" s="201"/>
      <c r="H634" s="201"/>
      <c r="I634" s="201"/>
      <c r="K634" s="201"/>
      <c r="L634" s="201"/>
      <c r="M634" s="201"/>
      <c r="N634" s="201"/>
      <c r="O634" s="201"/>
      <c r="P634" s="201"/>
      <c r="Q634" s="213"/>
      <c r="R634" s="213"/>
      <c r="AX634" s="201"/>
      <c r="AY634" s="201"/>
      <c r="AZ634" s="201"/>
      <c r="BA634" s="201"/>
    </row>
    <row r="635" spans="1:53">
      <c r="A635" s="201"/>
      <c r="B635" s="201"/>
      <c r="C635" s="201"/>
      <c r="D635" s="201"/>
      <c r="E635" s="201"/>
      <c r="F635" s="201"/>
      <c r="G635" s="201"/>
      <c r="H635" s="201"/>
      <c r="I635" s="201"/>
      <c r="K635" s="201"/>
      <c r="L635" s="201"/>
      <c r="M635" s="201"/>
      <c r="N635" s="201"/>
      <c r="O635" s="201"/>
      <c r="P635" s="201"/>
      <c r="Q635" s="213"/>
      <c r="R635" s="213"/>
      <c r="AX635" s="201"/>
      <c r="AY635" s="201"/>
      <c r="AZ635" s="201"/>
      <c r="BA635" s="201"/>
    </row>
    <row r="636" spans="1:53">
      <c r="A636" s="201"/>
      <c r="B636" s="201"/>
      <c r="C636" s="201"/>
      <c r="D636" s="201"/>
      <c r="E636" s="201"/>
      <c r="F636" s="201"/>
      <c r="G636" s="201"/>
      <c r="H636" s="201"/>
      <c r="I636" s="201"/>
      <c r="K636" s="201"/>
      <c r="L636" s="201"/>
      <c r="M636" s="201"/>
      <c r="N636" s="201"/>
      <c r="O636" s="201"/>
      <c r="P636" s="201"/>
      <c r="Q636" s="213"/>
      <c r="R636" s="213"/>
      <c r="AX636" s="201"/>
      <c r="AY636" s="201"/>
      <c r="AZ636" s="201"/>
      <c r="BA636" s="201"/>
    </row>
    <row r="637" spans="1:53">
      <c r="A637" s="201"/>
      <c r="B637" s="201"/>
      <c r="C637" s="201"/>
      <c r="D637" s="201"/>
      <c r="E637" s="201"/>
      <c r="F637" s="201"/>
      <c r="G637" s="201"/>
      <c r="H637" s="201"/>
      <c r="I637" s="201"/>
      <c r="K637" s="201"/>
      <c r="L637" s="201"/>
      <c r="M637" s="201"/>
      <c r="N637" s="201"/>
      <c r="O637" s="201"/>
      <c r="P637" s="201"/>
      <c r="Q637" s="213"/>
      <c r="R637" s="213"/>
      <c r="AX637" s="201"/>
      <c r="AY637" s="201"/>
      <c r="AZ637" s="201"/>
      <c r="BA637" s="201"/>
    </row>
    <row r="638" spans="1:53">
      <c r="A638" s="201"/>
      <c r="B638" s="201"/>
      <c r="C638" s="201"/>
      <c r="D638" s="201"/>
      <c r="E638" s="201"/>
      <c r="F638" s="201"/>
      <c r="G638" s="201"/>
      <c r="H638" s="201"/>
      <c r="I638" s="201"/>
      <c r="K638" s="201"/>
      <c r="L638" s="201"/>
      <c r="M638" s="201"/>
      <c r="N638" s="201"/>
      <c r="O638" s="201"/>
      <c r="P638" s="201"/>
      <c r="Q638" s="213"/>
      <c r="R638" s="213"/>
      <c r="AX638" s="201"/>
      <c r="AY638" s="201"/>
      <c r="AZ638" s="201"/>
      <c r="BA638" s="201"/>
    </row>
    <row r="639" spans="1:53">
      <c r="A639" s="201"/>
      <c r="B639" s="201"/>
      <c r="C639" s="201"/>
      <c r="D639" s="201"/>
      <c r="E639" s="201"/>
      <c r="F639" s="201"/>
      <c r="G639" s="201"/>
      <c r="H639" s="201"/>
      <c r="I639" s="201"/>
      <c r="K639" s="201"/>
      <c r="L639" s="201"/>
      <c r="M639" s="201"/>
      <c r="N639" s="201"/>
      <c r="O639" s="201"/>
      <c r="P639" s="201"/>
      <c r="Q639" s="213"/>
      <c r="R639" s="213"/>
      <c r="AX639" s="201"/>
      <c r="AY639" s="201"/>
      <c r="AZ639" s="201"/>
      <c r="BA639" s="201"/>
    </row>
    <row r="640" spans="1:53">
      <c r="A640" s="201"/>
      <c r="B640" s="201"/>
      <c r="C640" s="201"/>
      <c r="D640" s="201"/>
      <c r="E640" s="201"/>
      <c r="F640" s="201"/>
      <c r="G640" s="201"/>
      <c r="H640" s="201"/>
      <c r="I640" s="201"/>
      <c r="K640" s="201"/>
      <c r="L640" s="201"/>
      <c r="M640" s="201"/>
      <c r="N640" s="201"/>
      <c r="O640" s="201"/>
      <c r="P640" s="201"/>
      <c r="Q640" s="213"/>
      <c r="R640" s="213"/>
      <c r="AX640" s="201"/>
      <c r="AY640" s="201"/>
      <c r="AZ640" s="201"/>
      <c r="BA640" s="201"/>
    </row>
    <row r="641" spans="1:53">
      <c r="A641" s="201"/>
      <c r="B641" s="201"/>
      <c r="C641" s="201"/>
      <c r="D641" s="201"/>
      <c r="E641" s="201"/>
      <c r="F641" s="201"/>
      <c r="G641" s="201"/>
      <c r="H641" s="201"/>
      <c r="I641" s="201"/>
      <c r="K641" s="201"/>
      <c r="L641" s="201"/>
      <c r="M641" s="201"/>
      <c r="N641" s="201"/>
      <c r="O641" s="201"/>
      <c r="P641" s="201"/>
      <c r="Q641" s="213"/>
      <c r="R641" s="213"/>
      <c r="AX641" s="201"/>
      <c r="AY641" s="201"/>
      <c r="AZ641" s="201"/>
      <c r="BA641" s="201"/>
    </row>
    <row r="642" spans="1:53">
      <c r="A642" s="201"/>
      <c r="B642" s="201"/>
      <c r="C642" s="201"/>
      <c r="D642" s="201"/>
      <c r="E642" s="201"/>
      <c r="F642" s="201"/>
      <c r="G642" s="201"/>
      <c r="H642" s="201"/>
      <c r="I642" s="201"/>
      <c r="K642" s="201"/>
      <c r="L642" s="201"/>
      <c r="M642" s="201"/>
      <c r="N642" s="201"/>
      <c r="O642" s="201"/>
      <c r="P642" s="201"/>
      <c r="Q642" s="213"/>
      <c r="R642" s="213"/>
      <c r="AX642" s="201"/>
      <c r="AY642" s="201"/>
      <c r="AZ642" s="201"/>
      <c r="BA642" s="201"/>
    </row>
    <row r="643" spans="1:53">
      <c r="A643" s="201"/>
      <c r="B643" s="201"/>
      <c r="C643" s="201"/>
      <c r="D643" s="201"/>
      <c r="E643" s="201"/>
      <c r="F643" s="201"/>
      <c r="G643" s="201"/>
      <c r="H643" s="201"/>
      <c r="I643" s="201"/>
      <c r="K643" s="201"/>
      <c r="L643" s="201"/>
      <c r="M643" s="201"/>
      <c r="N643" s="201"/>
      <c r="O643" s="201"/>
      <c r="P643" s="201"/>
      <c r="Q643" s="213"/>
      <c r="R643" s="213"/>
      <c r="AX643" s="201"/>
      <c r="AY643" s="201"/>
      <c r="AZ643" s="201"/>
      <c r="BA643" s="201"/>
    </row>
    <row r="644" spans="1:53">
      <c r="A644" s="201"/>
      <c r="B644" s="201"/>
      <c r="C644" s="201"/>
      <c r="D644" s="201"/>
      <c r="E644" s="201"/>
      <c r="F644" s="201"/>
      <c r="G644" s="201"/>
      <c r="H644" s="201"/>
      <c r="I644" s="201"/>
      <c r="K644" s="201"/>
      <c r="L644" s="201"/>
      <c r="M644" s="201"/>
      <c r="N644" s="201"/>
      <c r="O644" s="201"/>
      <c r="P644" s="201"/>
      <c r="Q644" s="213"/>
      <c r="R644" s="213"/>
      <c r="AX644" s="201"/>
      <c r="AY644" s="201"/>
      <c r="AZ644" s="201"/>
      <c r="BA644" s="201"/>
    </row>
    <row r="645" spans="1:53">
      <c r="A645" s="201"/>
      <c r="B645" s="201"/>
      <c r="C645" s="201"/>
      <c r="D645" s="201"/>
      <c r="E645" s="201"/>
      <c r="F645" s="201"/>
      <c r="G645" s="201"/>
      <c r="H645" s="201"/>
      <c r="I645" s="201"/>
      <c r="K645" s="201"/>
      <c r="L645" s="201"/>
      <c r="M645" s="201"/>
      <c r="N645" s="201"/>
      <c r="O645" s="201"/>
      <c r="P645" s="201"/>
      <c r="Q645" s="213"/>
      <c r="R645" s="213"/>
      <c r="AX645" s="201"/>
      <c r="AY645" s="201"/>
      <c r="AZ645" s="201"/>
      <c r="BA645" s="201"/>
    </row>
    <row r="646" spans="1:53">
      <c r="A646" s="201"/>
      <c r="B646" s="201"/>
      <c r="C646" s="201"/>
      <c r="D646" s="201"/>
      <c r="E646" s="201"/>
      <c r="F646" s="201"/>
      <c r="G646" s="201"/>
      <c r="H646" s="201"/>
      <c r="I646" s="201"/>
      <c r="K646" s="201"/>
      <c r="L646" s="201"/>
      <c r="M646" s="201"/>
      <c r="N646" s="201"/>
      <c r="O646" s="201"/>
      <c r="P646" s="201"/>
      <c r="Q646" s="213"/>
      <c r="R646" s="213"/>
      <c r="AX646" s="201"/>
      <c r="AY646" s="201"/>
      <c r="AZ646" s="201"/>
      <c r="BA646" s="201"/>
    </row>
    <row r="647" spans="1:53">
      <c r="A647" s="201"/>
      <c r="B647" s="201"/>
      <c r="C647" s="201"/>
      <c r="D647" s="201"/>
      <c r="E647" s="201"/>
      <c r="F647" s="201"/>
      <c r="G647" s="201"/>
      <c r="H647" s="201"/>
      <c r="I647" s="201"/>
      <c r="K647" s="201"/>
      <c r="L647" s="201"/>
      <c r="M647" s="201"/>
      <c r="N647" s="201"/>
      <c r="O647" s="201"/>
      <c r="P647" s="201"/>
      <c r="Q647" s="213"/>
      <c r="R647" s="213"/>
      <c r="AX647" s="201"/>
      <c r="AY647" s="201"/>
      <c r="AZ647" s="201"/>
      <c r="BA647" s="201"/>
    </row>
    <row r="648" spans="1:53">
      <c r="A648" s="201"/>
      <c r="B648" s="201"/>
      <c r="C648" s="201"/>
      <c r="D648" s="201"/>
      <c r="E648" s="201"/>
      <c r="F648" s="201"/>
      <c r="G648" s="201"/>
      <c r="H648" s="201"/>
      <c r="I648" s="201"/>
      <c r="K648" s="201"/>
      <c r="L648" s="201"/>
      <c r="M648" s="201"/>
      <c r="N648" s="201"/>
      <c r="O648" s="201"/>
      <c r="P648" s="201"/>
      <c r="Q648" s="213"/>
      <c r="R648" s="213"/>
      <c r="AX648" s="201"/>
      <c r="AY648" s="201"/>
      <c r="AZ648" s="201"/>
      <c r="BA648" s="201"/>
    </row>
    <row r="649" spans="1:53">
      <c r="A649" s="201"/>
      <c r="B649" s="201"/>
      <c r="C649" s="201"/>
      <c r="D649" s="201"/>
      <c r="E649" s="201"/>
      <c r="F649" s="201"/>
      <c r="G649" s="201"/>
      <c r="H649" s="201"/>
      <c r="I649" s="201"/>
      <c r="K649" s="201"/>
      <c r="L649" s="201"/>
      <c r="M649" s="201"/>
      <c r="N649" s="201"/>
      <c r="O649" s="201"/>
      <c r="P649" s="201"/>
      <c r="Q649" s="213"/>
      <c r="R649" s="213"/>
      <c r="AX649" s="201"/>
      <c r="AY649" s="201"/>
      <c r="AZ649" s="201"/>
      <c r="BA649" s="201"/>
    </row>
    <row r="650" spans="1:53">
      <c r="A650" s="201"/>
      <c r="B650" s="201"/>
      <c r="C650" s="201"/>
      <c r="D650" s="201"/>
      <c r="E650" s="201"/>
      <c r="F650" s="201"/>
      <c r="G650" s="201"/>
      <c r="H650" s="201"/>
      <c r="I650" s="201"/>
      <c r="K650" s="201"/>
      <c r="L650" s="201"/>
      <c r="M650" s="201"/>
      <c r="N650" s="201"/>
      <c r="O650" s="201"/>
      <c r="P650" s="201"/>
      <c r="Q650" s="213"/>
      <c r="R650" s="213"/>
      <c r="AX650" s="201"/>
      <c r="AY650" s="201"/>
      <c r="AZ650" s="201"/>
      <c r="BA650" s="201"/>
    </row>
    <row r="651" spans="1:53">
      <c r="A651" s="201"/>
      <c r="B651" s="201"/>
      <c r="C651" s="201"/>
      <c r="D651" s="201"/>
      <c r="E651" s="201"/>
      <c r="F651" s="201"/>
      <c r="G651" s="201"/>
      <c r="H651" s="201"/>
      <c r="I651" s="201"/>
      <c r="K651" s="201"/>
      <c r="L651" s="201"/>
      <c r="M651" s="201"/>
      <c r="N651" s="201"/>
      <c r="O651" s="201"/>
      <c r="P651" s="201"/>
      <c r="Q651" s="213"/>
      <c r="R651" s="213"/>
      <c r="AX651" s="201"/>
      <c r="AY651" s="201"/>
      <c r="AZ651" s="201"/>
      <c r="BA651" s="201"/>
    </row>
    <row r="652" spans="1:53">
      <c r="A652" s="201"/>
      <c r="B652" s="201"/>
      <c r="C652" s="201"/>
      <c r="D652" s="201"/>
      <c r="E652" s="201"/>
      <c r="F652" s="201"/>
      <c r="G652" s="201"/>
      <c r="H652" s="201"/>
      <c r="I652" s="201"/>
      <c r="K652" s="201"/>
      <c r="L652" s="201"/>
      <c r="M652" s="201"/>
      <c r="N652" s="201"/>
      <c r="O652" s="201"/>
      <c r="P652" s="201"/>
      <c r="Q652" s="213"/>
      <c r="R652" s="213"/>
      <c r="AX652" s="201"/>
      <c r="AY652" s="201"/>
      <c r="AZ652" s="201"/>
      <c r="BA652" s="201"/>
    </row>
    <row r="653" spans="1:53">
      <c r="A653" s="201"/>
      <c r="B653" s="201"/>
      <c r="C653" s="201"/>
      <c r="D653" s="201"/>
      <c r="E653" s="201"/>
      <c r="F653" s="201"/>
      <c r="G653" s="201"/>
      <c r="H653" s="201"/>
      <c r="I653" s="201"/>
      <c r="K653" s="201"/>
      <c r="L653" s="201"/>
      <c r="M653" s="201"/>
      <c r="N653" s="201"/>
      <c r="O653" s="201"/>
      <c r="P653" s="201"/>
      <c r="Q653" s="213"/>
      <c r="R653" s="213"/>
      <c r="AX653" s="201"/>
      <c r="AY653" s="201"/>
      <c r="AZ653" s="201"/>
      <c r="BA653" s="201"/>
    </row>
    <row r="654" spans="1:53">
      <c r="A654" s="201"/>
      <c r="B654" s="201"/>
      <c r="C654" s="201"/>
      <c r="D654" s="201"/>
      <c r="E654" s="201"/>
      <c r="F654" s="201"/>
      <c r="G654" s="201"/>
      <c r="H654" s="201"/>
      <c r="I654" s="201"/>
      <c r="K654" s="201"/>
      <c r="L654" s="201"/>
      <c r="M654" s="201"/>
      <c r="N654" s="201"/>
      <c r="O654" s="201"/>
      <c r="P654" s="201"/>
      <c r="Q654" s="213"/>
      <c r="R654" s="213"/>
      <c r="AX654" s="201"/>
      <c r="AY654" s="201"/>
      <c r="AZ654" s="201"/>
      <c r="BA654" s="201"/>
    </row>
    <row r="655" spans="1:53">
      <c r="A655" s="201"/>
      <c r="B655" s="201"/>
      <c r="C655" s="201"/>
      <c r="D655" s="201"/>
      <c r="E655" s="201"/>
      <c r="F655" s="201"/>
      <c r="G655" s="201"/>
      <c r="H655" s="201"/>
      <c r="I655" s="201"/>
      <c r="K655" s="201"/>
      <c r="L655" s="201"/>
      <c r="M655" s="201"/>
      <c r="N655" s="201"/>
      <c r="O655" s="201"/>
      <c r="P655" s="201"/>
      <c r="Q655" s="213"/>
      <c r="R655" s="213"/>
      <c r="AX655" s="201"/>
      <c r="AY655" s="201"/>
      <c r="AZ655" s="201"/>
      <c r="BA655" s="201"/>
    </row>
    <row r="656" spans="1:53">
      <c r="A656" s="201"/>
      <c r="B656" s="201"/>
      <c r="C656" s="201"/>
      <c r="D656" s="201"/>
      <c r="E656" s="201"/>
      <c r="F656" s="201"/>
      <c r="G656" s="201"/>
      <c r="H656" s="201"/>
      <c r="I656" s="201"/>
      <c r="K656" s="201"/>
      <c r="L656" s="201"/>
      <c r="M656" s="201"/>
      <c r="N656" s="201"/>
      <c r="O656" s="201"/>
      <c r="P656" s="201"/>
      <c r="Q656" s="213"/>
      <c r="R656" s="213"/>
      <c r="AX656" s="201"/>
      <c r="AY656" s="201"/>
      <c r="AZ656" s="201"/>
      <c r="BA656" s="201"/>
    </row>
    <row r="657" spans="1:53">
      <c r="A657" s="201"/>
      <c r="B657" s="201"/>
      <c r="C657" s="201"/>
      <c r="D657" s="201"/>
      <c r="E657" s="201"/>
      <c r="F657" s="201"/>
      <c r="G657" s="201"/>
      <c r="H657" s="201"/>
      <c r="I657" s="201"/>
      <c r="K657" s="201"/>
      <c r="L657" s="201"/>
      <c r="M657" s="201"/>
      <c r="N657" s="201"/>
      <c r="O657" s="201"/>
      <c r="P657" s="201"/>
      <c r="Q657" s="213"/>
      <c r="R657" s="213"/>
      <c r="AX657" s="201"/>
      <c r="AY657" s="201"/>
      <c r="AZ657" s="201"/>
      <c r="BA657" s="201"/>
    </row>
    <row r="658" spans="1:53">
      <c r="A658" s="201"/>
      <c r="B658" s="201"/>
      <c r="C658" s="201"/>
      <c r="D658" s="201"/>
      <c r="E658" s="201"/>
      <c r="F658" s="201"/>
      <c r="G658" s="201"/>
      <c r="H658" s="201"/>
      <c r="I658" s="201"/>
      <c r="K658" s="201"/>
      <c r="L658" s="201"/>
      <c r="M658" s="201"/>
      <c r="N658" s="201"/>
      <c r="O658" s="201"/>
      <c r="P658" s="201"/>
      <c r="Q658" s="213"/>
      <c r="R658" s="213"/>
      <c r="AX658" s="201"/>
      <c r="AY658" s="201"/>
      <c r="AZ658" s="201"/>
      <c r="BA658" s="201"/>
    </row>
    <row r="659" spans="1:53">
      <c r="A659" s="201"/>
      <c r="B659" s="201"/>
      <c r="C659" s="201"/>
      <c r="D659" s="201"/>
      <c r="E659" s="201"/>
      <c r="F659" s="201"/>
      <c r="G659" s="201"/>
      <c r="H659" s="201"/>
      <c r="I659" s="201"/>
      <c r="K659" s="201"/>
      <c r="L659" s="201"/>
      <c r="M659" s="201"/>
      <c r="N659" s="201"/>
      <c r="O659" s="201"/>
      <c r="P659" s="201"/>
      <c r="Q659" s="213"/>
      <c r="R659" s="213"/>
      <c r="AX659" s="201"/>
      <c r="AY659" s="201"/>
      <c r="AZ659" s="201"/>
      <c r="BA659" s="201"/>
    </row>
    <row r="660" spans="1:53">
      <c r="A660" s="201"/>
      <c r="B660" s="201"/>
      <c r="C660" s="201"/>
      <c r="D660" s="201"/>
      <c r="E660" s="201"/>
      <c r="F660" s="201"/>
      <c r="G660" s="201"/>
      <c r="H660" s="201"/>
      <c r="I660" s="201"/>
      <c r="K660" s="201"/>
      <c r="L660" s="201"/>
      <c r="M660" s="201"/>
      <c r="N660" s="201"/>
      <c r="O660" s="201"/>
      <c r="P660" s="201"/>
      <c r="Q660" s="213"/>
      <c r="R660" s="213"/>
      <c r="AX660" s="201"/>
      <c r="AY660" s="201"/>
      <c r="AZ660" s="201"/>
      <c r="BA660" s="201"/>
    </row>
    <row r="661" spans="1:53">
      <c r="A661" s="201"/>
      <c r="B661" s="201"/>
      <c r="C661" s="201"/>
      <c r="D661" s="201"/>
      <c r="E661" s="201"/>
      <c r="F661" s="201"/>
      <c r="G661" s="201"/>
      <c r="H661" s="201"/>
      <c r="I661" s="201"/>
      <c r="K661" s="201"/>
      <c r="L661" s="201"/>
      <c r="M661" s="201"/>
      <c r="N661" s="201"/>
      <c r="O661" s="201"/>
      <c r="P661" s="201"/>
      <c r="Q661" s="213"/>
      <c r="R661" s="213"/>
      <c r="AX661" s="201"/>
      <c r="AY661" s="201"/>
      <c r="AZ661" s="201"/>
      <c r="BA661" s="201"/>
    </row>
    <row r="662" spans="1:53">
      <c r="A662" s="201"/>
      <c r="B662" s="201"/>
      <c r="C662" s="201"/>
      <c r="D662" s="201"/>
      <c r="E662" s="201"/>
      <c r="F662" s="201"/>
      <c r="G662" s="201"/>
      <c r="H662" s="201"/>
      <c r="I662" s="201"/>
      <c r="K662" s="201"/>
      <c r="L662" s="201"/>
      <c r="M662" s="201"/>
      <c r="N662" s="201"/>
      <c r="O662" s="201"/>
      <c r="P662" s="201"/>
      <c r="Q662" s="213"/>
      <c r="R662" s="213"/>
      <c r="AX662" s="201"/>
      <c r="AY662" s="201"/>
      <c r="AZ662" s="201"/>
      <c r="BA662" s="201"/>
    </row>
    <row r="663" spans="1:53">
      <c r="A663" s="201"/>
      <c r="B663" s="201"/>
      <c r="C663" s="201"/>
      <c r="D663" s="201"/>
      <c r="E663" s="201"/>
      <c r="F663" s="201"/>
      <c r="G663" s="201"/>
      <c r="H663" s="201"/>
      <c r="I663" s="201"/>
      <c r="K663" s="201"/>
      <c r="L663" s="201"/>
      <c r="M663" s="201"/>
      <c r="N663" s="201"/>
      <c r="O663" s="201"/>
      <c r="P663" s="201"/>
      <c r="Q663" s="213"/>
      <c r="R663" s="213"/>
      <c r="AX663" s="201"/>
      <c r="AY663" s="201"/>
      <c r="AZ663" s="201"/>
      <c r="BA663" s="201"/>
    </row>
    <row r="664" spans="1:53">
      <c r="A664" s="201"/>
      <c r="B664" s="201"/>
      <c r="C664" s="201"/>
      <c r="D664" s="201"/>
      <c r="E664" s="201"/>
      <c r="F664" s="201"/>
      <c r="G664" s="201"/>
      <c r="H664" s="201"/>
      <c r="I664" s="201"/>
      <c r="K664" s="201"/>
      <c r="L664" s="201"/>
      <c r="M664" s="201"/>
      <c r="N664" s="201"/>
      <c r="O664" s="201"/>
      <c r="P664" s="201"/>
      <c r="Q664" s="213"/>
      <c r="R664" s="213"/>
      <c r="AX664" s="201"/>
      <c r="AY664" s="201"/>
      <c r="AZ664" s="201"/>
      <c r="BA664" s="201"/>
    </row>
    <row r="665" spans="1:53">
      <c r="A665" s="201"/>
      <c r="B665" s="201"/>
      <c r="C665" s="201"/>
      <c r="D665" s="201"/>
      <c r="E665" s="201"/>
      <c r="F665" s="201"/>
      <c r="G665" s="201"/>
      <c r="H665" s="201"/>
      <c r="I665" s="201"/>
      <c r="K665" s="201"/>
      <c r="L665" s="201"/>
      <c r="M665" s="201"/>
      <c r="N665" s="201"/>
      <c r="O665" s="201"/>
      <c r="P665" s="201"/>
      <c r="Q665" s="213"/>
      <c r="R665" s="213"/>
      <c r="AX665" s="201"/>
      <c r="AY665" s="201"/>
      <c r="AZ665" s="201"/>
      <c r="BA665" s="201"/>
    </row>
    <row r="666" spans="1:53">
      <c r="A666" s="201"/>
      <c r="B666" s="201"/>
      <c r="C666" s="201"/>
      <c r="D666" s="201"/>
      <c r="E666" s="201"/>
      <c r="F666" s="201"/>
      <c r="G666" s="201"/>
      <c r="H666" s="201"/>
      <c r="I666" s="201"/>
      <c r="K666" s="201"/>
      <c r="L666" s="201"/>
      <c r="M666" s="201"/>
      <c r="N666" s="201"/>
      <c r="O666" s="201"/>
      <c r="P666" s="201"/>
      <c r="Q666" s="213"/>
      <c r="R666" s="213"/>
      <c r="AX666" s="201"/>
      <c r="AY666" s="201"/>
      <c r="AZ666" s="201"/>
      <c r="BA666" s="201"/>
    </row>
    <row r="667" spans="1:53">
      <c r="A667" s="201"/>
      <c r="B667" s="201"/>
      <c r="C667" s="201"/>
      <c r="D667" s="201"/>
      <c r="E667" s="201"/>
      <c r="F667" s="201"/>
      <c r="G667" s="201"/>
      <c r="H667" s="201"/>
      <c r="I667" s="201"/>
      <c r="K667" s="201"/>
      <c r="L667" s="201"/>
      <c r="M667" s="201"/>
      <c r="N667" s="201"/>
      <c r="O667" s="201"/>
      <c r="P667" s="201"/>
      <c r="Q667" s="213"/>
      <c r="R667" s="213"/>
      <c r="AX667" s="201"/>
      <c r="AY667" s="201"/>
      <c r="AZ667" s="201"/>
      <c r="BA667" s="201"/>
    </row>
    <row r="668" spans="1:53">
      <c r="A668" s="201"/>
      <c r="B668" s="201"/>
      <c r="C668" s="201"/>
      <c r="D668" s="201"/>
      <c r="E668" s="201"/>
      <c r="F668" s="201"/>
      <c r="G668" s="201"/>
      <c r="H668" s="201"/>
      <c r="I668" s="201"/>
      <c r="K668" s="201"/>
      <c r="L668" s="201"/>
      <c r="M668" s="201"/>
      <c r="N668" s="201"/>
      <c r="O668" s="201"/>
      <c r="P668" s="201"/>
      <c r="Q668" s="213"/>
      <c r="R668" s="213"/>
      <c r="AX668" s="201"/>
      <c r="AY668" s="201"/>
      <c r="AZ668" s="201"/>
      <c r="BA668" s="201"/>
    </row>
    <row r="669" spans="1:53">
      <c r="A669" s="201"/>
      <c r="B669" s="201"/>
      <c r="C669" s="201"/>
      <c r="D669" s="201"/>
      <c r="E669" s="201"/>
      <c r="F669" s="201"/>
      <c r="G669" s="201"/>
      <c r="H669" s="201"/>
      <c r="I669" s="201"/>
      <c r="K669" s="201"/>
      <c r="L669" s="201"/>
      <c r="M669" s="201"/>
      <c r="N669" s="201"/>
      <c r="O669" s="201"/>
      <c r="P669" s="201"/>
      <c r="Q669" s="213"/>
      <c r="R669" s="213"/>
      <c r="AX669" s="201"/>
      <c r="AY669" s="201"/>
      <c r="AZ669" s="201"/>
      <c r="BA669" s="201"/>
    </row>
    <row r="670" spans="1:53">
      <c r="A670" s="201"/>
      <c r="B670" s="201"/>
      <c r="C670" s="201"/>
      <c r="D670" s="201"/>
      <c r="E670" s="201"/>
      <c r="F670" s="201"/>
      <c r="G670" s="201"/>
      <c r="H670" s="201"/>
      <c r="I670" s="201"/>
      <c r="K670" s="201"/>
      <c r="L670" s="201"/>
      <c r="M670" s="201"/>
      <c r="N670" s="201"/>
      <c r="O670" s="201"/>
      <c r="P670" s="201"/>
      <c r="Q670" s="213"/>
      <c r="R670" s="213"/>
      <c r="AX670" s="201"/>
      <c r="AY670" s="201"/>
      <c r="AZ670" s="201"/>
      <c r="BA670" s="201"/>
    </row>
    <row r="671" spans="1:53">
      <c r="A671" s="201"/>
      <c r="B671" s="201"/>
      <c r="C671" s="201"/>
      <c r="D671" s="201"/>
      <c r="E671" s="201"/>
      <c r="F671" s="201"/>
      <c r="G671" s="201"/>
      <c r="H671" s="201"/>
      <c r="I671" s="201"/>
      <c r="K671" s="201"/>
      <c r="L671" s="201"/>
      <c r="M671" s="201"/>
      <c r="N671" s="201"/>
      <c r="O671" s="201"/>
      <c r="P671" s="201"/>
      <c r="Q671" s="213"/>
      <c r="R671" s="213"/>
      <c r="AX671" s="201"/>
      <c r="AY671" s="201"/>
      <c r="AZ671" s="201"/>
      <c r="BA671" s="201"/>
    </row>
    <row r="672" spans="1:53">
      <c r="A672" s="201"/>
      <c r="B672" s="201"/>
      <c r="C672" s="201"/>
      <c r="D672" s="201"/>
      <c r="E672" s="201"/>
      <c r="F672" s="201"/>
      <c r="G672" s="201"/>
      <c r="H672" s="201"/>
      <c r="I672" s="201"/>
      <c r="K672" s="201"/>
      <c r="L672" s="201"/>
      <c r="M672" s="201"/>
      <c r="N672" s="201"/>
      <c r="O672" s="201"/>
      <c r="P672" s="201"/>
      <c r="Q672" s="213"/>
      <c r="R672" s="213"/>
      <c r="AX672" s="201"/>
      <c r="AY672" s="201"/>
      <c r="AZ672" s="201"/>
      <c r="BA672" s="201"/>
    </row>
    <row r="673" spans="1:53">
      <c r="A673" s="201"/>
      <c r="B673" s="201"/>
      <c r="C673" s="201"/>
      <c r="D673" s="201"/>
      <c r="E673" s="201"/>
      <c r="F673" s="201"/>
      <c r="G673" s="201"/>
      <c r="H673" s="201"/>
      <c r="I673" s="201"/>
      <c r="K673" s="201"/>
      <c r="L673" s="201"/>
      <c r="M673" s="201"/>
      <c r="N673" s="201"/>
      <c r="O673" s="201"/>
      <c r="P673" s="201"/>
      <c r="Q673" s="213"/>
      <c r="R673" s="213"/>
      <c r="AX673" s="201"/>
      <c r="AY673" s="201"/>
      <c r="AZ673" s="201"/>
      <c r="BA673" s="201"/>
    </row>
    <row r="674" spans="1:53">
      <c r="A674" s="201"/>
      <c r="B674" s="201"/>
      <c r="C674" s="201"/>
      <c r="D674" s="201"/>
      <c r="E674" s="201"/>
      <c r="F674" s="201"/>
      <c r="G674" s="201"/>
      <c r="H674" s="201"/>
      <c r="I674" s="201"/>
      <c r="K674" s="201"/>
      <c r="L674" s="201"/>
      <c r="M674" s="201"/>
      <c r="N674" s="201"/>
      <c r="O674" s="201"/>
      <c r="P674" s="201"/>
      <c r="Q674" s="213"/>
      <c r="R674" s="213"/>
      <c r="AX674" s="201"/>
      <c r="AY674" s="201"/>
      <c r="AZ674" s="201"/>
      <c r="BA674" s="201"/>
    </row>
    <row r="675" spans="1:53">
      <c r="A675" s="201"/>
      <c r="B675" s="201"/>
      <c r="C675" s="201"/>
      <c r="D675" s="201"/>
      <c r="E675" s="201"/>
      <c r="F675" s="201"/>
      <c r="G675" s="201"/>
      <c r="H675" s="201"/>
      <c r="I675" s="201"/>
      <c r="K675" s="201"/>
      <c r="L675" s="201"/>
      <c r="M675" s="201"/>
      <c r="N675" s="201"/>
      <c r="O675" s="201"/>
      <c r="P675" s="201"/>
      <c r="Q675" s="213"/>
      <c r="R675" s="213"/>
      <c r="AX675" s="201"/>
      <c r="AY675" s="201"/>
      <c r="AZ675" s="201"/>
      <c r="BA675" s="201"/>
    </row>
    <row r="676" spans="1:53">
      <c r="A676" s="201"/>
      <c r="B676" s="201"/>
      <c r="C676" s="201"/>
      <c r="D676" s="201"/>
      <c r="E676" s="201"/>
      <c r="F676" s="201"/>
      <c r="G676" s="201"/>
      <c r="H676" s="201"/>
      <c r="I676" s="201"/>
      <c r="K676" s="201"/>
      <c r="L676" s="201"/>
      <c r="M676" s="201"/>
      <c r="N676" s="201"/>
      <c r="O676" s="201"/>
      <c r="P676" s="201"/>
      <c r="Q676" s="213"/>
      <c r="R676" s="213"/>
      <c r="AX676" s="201"/>
      <c r="AY676" s="201"/>
      <c r="AZ676" s="201"/>
      <c r="BA676" s="201"/>
    </row>
    <row r="677" spans="1:53">
      <c r="A677" s="201"/>
      <c r="B677" s="201"/>
      <c r="C677" s="201"/>
      <c r="D677" s="201"/>
      <c r="E677" s="201"/>
      <c r="F677" s="201"/>
      <c r="G677" s="201"/>
      <c r="H677" s="201"/>
      <c r="I677" s="201"/>
      <c r="K677" s="201"/>
      <c r="L677" s="201"/>
      <c r="M677" s="201"/>
      <c r="N677" s="201"/>
      <c r="O677" s="201"/>
      <c r="P677" s="201"/>
      <c r="Q677" s="213"/>
      <c r="R677" s="213"/>
      <c r="AX677" s="201"/>
      <c r="AY677" s="201"/>
      <c r="AZ677" s="201"/>
      <c r="BA677" s="201"/>
    </row>
    <row r="678" spans="1:53">
      <c r="A678" s="201"/>
      <c r="B678" s="201"/>
      <c r="C678" s="201"/>
      <c r="D678" s="201"/>
      <c r="E678" s="201"/>
      <c r="F678" s="201"/>
      <c r="G678" s="201"/>
      <c r="H678" s="201"/>
      <c r="I678" s="201"/>
      <c r="K678" s="201"/>
      <c r="L678" s="201"/>
      <c r="M678" s="201"/>
      <c r="N678" s="201"/>
      <c r="O678" s="201"/>
      <c r="P678" s="201"/>
      <c r="Q678" s="213"/>
      <c r="R678" s="213"/>
      <c r="AX678" s="201"/>
      <c r="AY678" s="201"/>
      <c r="AZ678" s="201"/>
      <c r="BA678" s="201"/>
    </row>
    <row r="679" spans="1:53">
      <c r="A679" s="201"/>
      <c r="B679" s="201"/>
      <c r="C679" s="201"/>
      <c r="D679" s="201"/>
      <c r="E679" s="201"/>
      <c r="F679" s="201"/>
      <c r="G679" s="201"/>
      <c r="H679" s="201"/>
      <c r="I679" s="201"/>
      <c r="K679" s="201"/>
      <c r="L679" s="201"/>
      <c r="M679" s="201"/>
      <c r="N679" s="201"/>
      <c r="O679" s="201"/>
      <c r="P679" s="201"/>
      <c r="Q679" s="213"/>
      <c r="R679" s="213"/>
      <c r="AX679" s="201"/>
      <c r="AY679" s="201"/>
      <c r="AZ679" s="201"/>
      <c r="BA679" s="201"/>
    </row>
    <row r="680" spans="1:53">
      <c r="A680" s="201"/>
      <c r="B680" s="201"/>
      <c r="C680" s="201"/>
      <c r="D680" s="201"/>
      <c r="E680" s="201"/>
      <c r="F680" s="201"/>
      <c r="G680" s="201"/>
      <c r="H680" s="201"/>
      <c r="I680" s="201"/>
      <c r="K680" s="201"/>
      <c r="L680" s="201"/>
      <c r="M680" s="201"/>
      <c r="N680" s="201"/>
      <c r="O680" s="201"/>
      <c r="P680" s="201"/>
      <c r="Q680" s="213"/>
      <c r="R680" s="213"/>
      <c r="AX680" s="201"/>
      <c r="AY680" s="201"/>
      <c r="AZ680" s="201"/>
      <c r="BA680" s="201"/>
    </row>
    <row r="681" spans="1:53">
      <c r="A681" s="201"/>
      <c r="B681" s="201"/>
      <c r="C681" s="201"/>
      <c r="D681" s="201"/>
      <c r="E681" s="201"/>
      <c r="F681" s="201"/>
      <c r="G681" s="201"/>
      <c r="H681" s="201"/>
      <c r="I681" s="201"/>
      <c r="K681" s="201"/>
      <c r="L681" s="201"/>
      <c r="M681" s="201"/>
      <c r="N681" s="201"/>
      <c r="O681" s="201"/>
      <c r="P681" s="201"/>
      <c r="Q681" s="213"/>
      <c r="R681" s="213"/>
      <c r="AX681" s="201"/>
      <c r="AY681" s="201"/>
      <c r="AZ681" s="201"/>
      <c r="BA681" s="201"/>
    </row>
    <row r="682" spans="1:53">
      <c r="A682" s="201"/>
      <c r="B682" s="201"/>
      <c r="C682" s="201"/>
      <c r="D682" s="201"/>
      <c r="E682" s="201"/>
      <c r="F682" s="201"/>
      <c r="G682" s="201"/>
      <c r="H682" s="201"/>
      <c r="I682" s="201"/>
      <c r="K682" s="201"/>
      <c r="L682" s="201"/>
      <c r="M682" s="201"/>
      <c r="N682" s="201"/>
      <c r="O682" s="201"/>
      <c r="P682" s="201"/>
      <c r="Q682" s="213"/>
      <c r="R682" s="213"/>
      <c r="AX682" s="201"/>
      <c r="AY682" s="201"/>
      <c r="AZ682" s="201"/>
      <c r="BA682" s="201"/>
    </row>
    <row r="683" spans="1:53">
      <c r="A683" s="201"/>
      <c r="B683" s="201"/>
      <c r="C683" s="201"/>
      <c r="D683" s="201"/>
      <c r="E683" s="201"/>
      <c r="F683" s="201"/>
      <c r="G683" s="201"/>
      <c r="H683" s="201"/>
      <c r="I683" s="201"/>
      <c r="K683" s="201"/>
      <c r="L683" s="201"/>
      <c r="M683" s="201"/>
      <c r="N683" s="201"/>
      <c r="O683" s="201"/>
      <c r="P683" s="201"/>
      <c r="Q683" s="213"/>
      <c r="R683" s="213"/>
      <c r="AX683" s="201"/>
      <c r="AY683" s="201"/>
      <c r="AZ683" s="201"/>
      <c r="BA683" s="201"/>
    </row>
    <row r="684" spans="1:53">
      <c r="A684" s="201"/>
      <c r="B684" s="201"/>
      <c r="C684" s="201"/>
      <c r="D684" s="201"/>
      <c r="E684" s="201"/>
      <c r="F684" s="201"/>
      <c r="G684" s="201"/>
      <c r="H684" s="201"/>
      <c r="I684" s="201"/>
      <c r="K684" s="201"/>
      <c r="L684" s="201"/>
      <c r="M684" s="201"/>
      <c r="N684" s="201"/>
      <c r="O684" s="201"/>
      <c r="P684" s="201"/>
      <c r="Q684" s="213"/>
      <c r="R684" s="213"/>
      <c r="AX684" s="201"/>
      <c r="AY684" s="201"/>
      <c r="AZ684" s="201"/>
      <c r="BA684" s="201"/>
    </row>
    <row r="685" spans="1:53">
      <c r="A685" s="201"/>
      <c r="B685" s="201"/>
      <c r="C685" s="201"/>
      <c r="D685" s="201"/>
      <c r="E685" s="201"/>
      <c r="F685" s="201"/>
      <c r="G685" s="201"/>
      <c r="H685" s="201"/>
      <c r="I685" s="201"/>
      <c r="K685" s="201"/>
      <c r="L685" s="201"/>
      <c r="M685" s="201"/>
      <c r="N685" s="201"/>
      <c r="O685" s="201"/>
      <c r="P685" s="201"/>
      <c r="Q685" s="213"/>
      <c r="R685" s="213"/>
      <c r="AX685" s="201"/>
      <c r="AY685" s="201"/>
      <c r="AZ685" s="201"/>
      <c r="BA685" s="201"/>
    </row>
    <row r="686" spans="1:53">
      <c r="A686" s="201"/>
      <c r="B686" s="201"/>
      <c r="C686" s="201"/>
      <c r="D686" s="201"/>
      <c r="E686" s="201"/>
      <c r="F686" s="201"/>
      <c r="G686" s="201"/>
      <c r="H686" s="201"/>
      <c r="I686" s="201"/>
      <c r="K686" s="201"/>
      <c r="L686" s="201"/>
      <c r="M686" s="201"/>
      <c r="N686" s="201"/>
      <c r="O686" s="201"/>
      <c r="P686" s="201"/>
      <c r="Q686" s="213"/>
      <c r="R686" s="213"/>
      <c r="AX686" s="201"/>
      <c r="AY686" s="201"/>
      <c r="AZ686" s="201"/>
      <c r="BA686" s="201"/>
    </row>
    <row r="687" spans="1:53">
      <c r="A687" s="201"/>
      <c r="B687" s="201"/>
      <c r="C687" s="201"/>
      <c r="D687" s="201"/>
      <c r="E687" s="201"/>
      <c r="F687" s="201"/>
      <c r="G687" s="201"/>
      <c r="H687" s="201"/>
      <c r="I687" s="201"/>
      <c r="K687" s="201"/>
      <c r="L687" s="201"/>
      <c r="M687" s="201"/>
      <c r="N687" s="201"/>
      <c r="O687" s="201"/>
      <c r="P687" s="201"/>
      <c r="Q687" s="213"/>
      <c r="R687" s="213"/>
      <c r="AX687" s="201"/>
      <c r="AY687" s="201"/>
      <c r="AZ687" s="201"/>
      <c r="BA687" s="201"/>
    </row>
    <row r="688" spans="1:53">
      <c r="A688" s="201"/>
      <c r="B688" s="201"/>
      <c r="C688" s="201"/>
      <c r="D688" s="201"/>
      <c r="E688" s="201"/>
      <c r="F688" s="201"/>
      <c r="G688" s="201"/>
      <c r="H688" s="201"/>
      <c r="I688" s="201"/>
      <c r="K688" s="201"/>
      <c r="L688" s="201"/>
      <c r="M688" s="201"/>
      <c r="N688" s="201"/>
      <c r="O688" s="201"/>
      <c r="P688" s="201"/>
      <c r="Q688" s="213"/>
      <c r="R688" s="213"/>
      <c r="AX688" s="201"/>
      <c r="AY688" s="201"/>
      <c r="AZ688" s="201"/>
      <c r="BA688" s="201"/>
    </row>
    <row r="689" spans="1:53">
      <c r="A689" s="201"/>
      <c r="B689" s="201"/>
      <c r="C689" s="201"/>
      <c r="D689" s="201"/>
      <c r="E689" s="201"/>
      <c r="F689" s="201"/>
      <c r="G689" s="201"/>
      <c r="H689" s="201"/>
      <c r="I689" s="201"/>
      <c r="K689" s="201"/>
      <c r="L689" s="201"/>
      <c r="M689" s="201"/>
      <c r="N689" s="201"/>
      <c r="O689" s="201"/>
      <c r="P689" s="201"/>
      <c r="Q689" s="213"/>
      <c r="R689" s="213"/>
      <c r="AX689" s="201"/>
      <c r="AY689" s="201"/>
      <c r="AZ689" s="201"/>
      <c r="BA689" s="201"/>
    </row>
    <row r="690" spans="1:53">
      <c r="A690" s="201"/>
      <c r="B690" s="201"/>
      <c r="C690" s="201"/>
      <c r="D690" s="201"/>
      <c r="E690" s="201"/>
      <c r="F690" s="201"/>
      <c r="G690" s="201"/>
      <c r="H690" s="201"/>
      <c r="I690" s="201"/>
      <c r="K690" s="201"/>
      <c r="L690" s="201"/>
      <c r="M690" s="201"/>
      <c r="N690" s="201"/>
      <c r="O690" s="201"/>
      <c r="P690" s="201"/>
      <c r="Q690" s="213"/>
      <c r="R690" s="213"/>
      <c r="AX690" s="201"/>
      <c r="AY690" s="201"/>
      <c r="AZ690" s="201"/>
      <c r="BA690" s="201"/>
    </row>
    <row r="691" spans="1:53">
      <c r="A691" s="201"/>
      <c r="B691" s="201"/>
      <c r="C691" s="201"/>
      <c r="D691" s="201"/>
      <c r="E691" s="201"/>
      <c r="F691" s="201"/>
      <c r="G691" s="201"/>
      <c r="H691" s="201"/>
      <c r="I691" s="201"/>
      <c r="K691" s="201"/>
      <c r="L691" s="201"/>
      <c r="M691" s="201"/>
      <c r="N691" s="201"/>
      <c r="O691" s="201"/>
      <c r="P691" s="201"/>
      <c r="Q691" s="213"/>
      <c r="R691" s="213"/>
      <c r="AX691" s="201"/>
      <c r="AY691" s="201"/>
      <c r="AZ691" s="201"/>
      <c r="BA691" s="201"/>
    </row>
    <row r="692" spans="1:53">
      <c r="A692" s="201"/>
      <c r="B692" s="201"/>
      <c r="C692" s="201"/>
      <c r="D692" s="201"/>
      <c r="E692" s="201"/>
      <c r="F692" s="201"/>
      <c r="G692" s="201"/>
      <c r="H692" s="201"/>
      <c r="I692" s="201"/>
      <c r="K692" s="201"/>
      <c r="L692" s="201"/>
      <c r="M692" s="201"/>
      <c r="N692" s="201"/>
      <c r="O692" s="201"/>
      <c r="P692" s="201"/>
      <c r="Q692" s="213"/>
      <c r="R692" s="213"/>
      <c r="AX692" s="201"/>
      <c r="AY692" s="201"/>
      <c r="AZ692" s="201"/>
      <c r="BA692" s="201"/>
    </row>
    <row r="693" spans="1:53">
      <c r="A693" s="201"/>
      <c r="B693" s="201"/>
      <c r="C693" s="201"/>
      <c r="D693" s="201"/>
      <c r="E693" s="201"/>
      <c r="F693" s="201"/>
      <c r="G693" s="201"/>
      <c r="H693" s="201"/>
      <c r="I693" s="201"/>
      <c r="K693" s="201"/>
      <c r="L693" s="201"/>
      <c r="M693" s="201"/>
      <c r="N693" s="201"/>
      <c r="O693" s="201"/>
      <c r="P693" s="201"/>
      <c r="Q693" s="213"/>
      <c r="R693" s="213"/>
      <c r="AX693" s="201"/>
      <c r="AY693" s="201"/>
      <c r="AZ693" s="201"/>
      <c r="BA693" s="201"/>
    </row>
    <row r="694" spans="1:53">
      <c r="A694" s="201"/>
      <c r="B694" s="201"/>
      <c r="C694" s="201"/>
      <c r="D694" s="201"/>
      <c r="E694" s="201"/>
      <c r="F694" s="201"/>
      <c r="G694" s="201"/>
      <c r="H694" s="201"/>
      <c r="I694" s="201"/>
      <c r="K694" s="201"/>
      <c r="L694" s="201"/>
      <c r="M694" s="201"/>
      <c r="N694" s="201"/>
      <c r="O694" s="201"/>
      <c r="P694" s="201"/>
      <c r="Q694" s="213"/>
      <c r="R694" s="213"/>
      <c r="AX694" s="201"/>
      <c r="AY694" s="201"/>
      <c r="AZ694" s="201"/>
      <c r="BA694" s="201"/>
    </row>
    <row r="695" spans="1:53">
      <c r="A695" s="201"/>
      <c r="B695" s="201"/>
      <c r="C695" s="201"/>
      <c r="D695" s="201"/>
      <c r="E695" s="201"/>
      <c r="F695" s="201"/>
      <c r="G695" s="201"/>
      <c r="H695" s="201"/>
      <c r="I695" s="201"/>
      <c r="K695" s="201"/>
      <c r="L695" s="201"/>
      <c r="M695" s="201"/>
      <c r="N695" s="201"/>
      <c r="O695" s="201"/>
      <c r="P695" s="201"/>
      <c r="Q695" s="213"/>
      <c r="R695" s="213"/>
      <c r="AX695" s="201"/>
      <c r="AY695" s="201"/>
      <c r="AZ695" s="201"/>
      <c r="BA695" s="201"/>
    </row>
    <row r="696" spans="1:53">
      <c r="A696" s="201"/>
      <c r="B696" s="201"/>
      <c r="C696" s="201"/>
      <c r="D696" s="201"/>
      <c r="E696" s="201"/>
      <c r="F696" s="201"/>
      <c r="G696" s="201"/>
      <c r="H696" s="201"/>
      <c r="I696" s="201"/>
      <c r="K696" s="201"/>
      <c r="L696" s="201"/>
      <c r="M696" s="201"/>
      <c r="N696" s="201"/>
      <c r="O696" s="201"/>
      <c r="P696" s="201"/>
      <c r="Q696" s="213"/>
      <c r="R696" s="213"/>
      <c r="AX696" s="201"/>
      <c r="AY696" s="201"/>
      <c r="AZ696" s="201"/>
      <c r="BA696" s="201"/>
    </row>
    <row r="697" spans="1:53">
      <c r="A697" s="201"/>
      <c r="B697" s="201"/>
      <c r="C697" s="201"/>
      <c r="D697" s="201"/>
      <c r="E697" s="201"/>
      <c r="F697" s="201"/>
      <c r="G697" s="201"/>
      <c r="H697" s="201"/>
      <c r="I697" s="201"/>
      <c r="K697" s="201"/>
      <c r="L697" s="201"/>
      <c r="M697" s="201"/>
      <c r="N697" s="201"/>
      <c r="O697" s="201"/>
      <c r="P697" s="201"/>
      <c r="Q697" s="213"/>
      <c r="R697" s="213"/>
      <c r="AX697" s="201"/>
      <c r="AY697" s="201"/>
      <c r="AZ697" s="201"/>
      <c r="BA697" s="201"/>
    </row>
    <row r="698" spans="1:53">
      <c r="A698" s="201"/>
      <c r="B698" s="201"/>
      <c r="C698" s="201"/>
      <c r="D698" s="201"/>
      <c r="E698" s="201"/>
      <c r="F698" s="201"/>
      <c r="G698" s="201"/>
      <c r="H698" s="201"/>
      <c r="I698" s="201"/>
      <c r="K698" s="201"/>
      <c r="L698" s="201"/>
      <c r="M698" s="201"/>
      <c r="N698" s="201"/>
      <c r="O698" s="201"/>
      <c r="P698" s="201"/>
      <c r="Q698" s="213"/>
      <c r="R698" s="213"/>
      <c r="AX698" s="201"/>
      <c r="AY698" s="201"/>
      <c r="AZ698" s="201"/>
      <c r="BA698" s="201"/>
    </row>
    <row r="699" spans="1:53">
      <c r="A699" s="201"/>
      <c r="B699" s="201"/>
      <c r="C699" s="201"/>
      <c r="D699" s="201"/>
      <c r="E699" s="201"/>
      <c r="F699" s="201"/>
      <c r="G699" s="201"/>
      <c r="H699" s="201"/>
      <c r="I699" s="201"/>
      <c r="K699" s="201"/>
      <c r="L699" s="201"/>
      <c r="M699" s="201"/>
      <c r="N699" s="201"/>
      <c r="O699" s="201"/>
      <c r="P699" s="201"/>
      <c r="Q699" s="213"/>
      <c r="R699" s="213"/>
      <c r="AX699" s="201"/>
      <c r="AY699" s="201"/>
      <c r="AZ699" s="201"/>
      <c r="BA699" s="201"/>
    </row>
    <row r="700" spans="1:53">
      <c r="A700" s="201"/>
      <c r="B700" s="201"/>
      <c r="C700" s="201"/>
      <c r="D700" s="201"/>
      <c r="E700" s="201"/>
      <c r="F700" s="201"/>
      <c r="G700" s="201"/>
      <c r="H700" s="201"/>
      <c r="I700" s="201"/>
      <c r="K700" s="201"/>
      <c r="L700" s="201"/>
      <c r="M700" s="201"/>
      <c r="N700" s="201"/>
      <c r="O700" s="201"/>
      <c r="P700" s="201"/>
      <c r="Q700" s="213"/>
      <c r="R700" s="213"/>
      <c r="AX700" s="201"/>
      <c r="AY700" s="201"/>
      <c r="AZ700" s="201"/>
      <c r="BA700" s="201"/>
    </row>
    <row r="701" spans="1:53">
      <c r="A701" s="201"/>
      <c r="B701" s="201"/>
      <c r="C701" s="201"/>
      <c r="D701" s="201"/>
      <c r="E701" s="201"/>
      <c r="F701" s="201"/>
      <c r="G701" s="201"/>
      <c r="H701" s="201"/>
      <c r="I701" s="201"/>
      <c r="K701" s="201"/>
      <c r="L701" s="201"/>
      <c r="M701" s="201"/>
      <c r="N701" s="201"/>
      <c r="O701" s="201"/>
      <c r="P701" s="201"/>
      <c r="Q701" s="213"/>
      <c r="R701" s="213"/>
      <c r="AX701" s="201"/>
      <c r="AY701" s="201"/>
      <c r="AZ701" s="201"/>
      <c r="BA701" s="201"/>
    </row>
    <row r="702" spans="1:53">
      <c r="A702" s="201"/>
      <c r="B702" s="201"/>
      <c r="C702" s="201"/>
      <c r="D702" s="201"/>
      <c r="E702" s="201"/>
      <c r="F702" s="201"/>
      <c r="G702" s="201"/>
      <c r="H702" s="201"/>
      <c r="I702" s="201"/>
      <c r="K702" s="201"/>
      <c r="L702" s="201"/>
      <c r="M702" s="201"/>
      <c r="N702" s="201"/>
      <c r="O702" s="201"/>
      <c r="P702" s="201"/>
      <c r="Q702" s="213"/>
      <c r="R702" s="213"/>
      <c r="AX702" s="201"/>
      <c r="AY702" s="201"/>
      <c r="AZ702" s="201"/>
      <c r="BA702" s="201"/>
    </row>
    <row r="703" spans="1:53">
      <c r="A703" s="201"/>
      <c r="B703" s="201"/>
      <c r="C703" s="201"/>
      <c r="D703" s="201"/>
      <c r="E703" s="201"/>
      <c r="F703" s="201"/>
      <c r="G703" s="201"/>
      <c r="H703" s="201"/>
      <c r="I703" s="201"/>
      <c r="K703" s="201"/>
      <c r="L703" s="201"/>
      <c r="M703" s="201"/>
      <c r="N703" s="201"/>
      <c r="O703" s="201"/>
      <c r="P703" s="201"/>
      <c r="Q703" s="213"/>
      <c r="R703" s="213"/>
      <c r="AX703" s="201"/>
      <c r="AY703" s="201"/>
      <c r="AZ703" s="201"/>
      <c r="BA703" s="201"/>
    </row>
    <row r="704" spans="1:53">
      <c r="A704" s="201"/>
      <c r="B704" s="201"/>
      <c r="C704" s="201"/>
      <c r="D704" s="201"/>
      <c r="E704" s="201"/>
      <c r="F704" s="201"/>
      <c r="G704" s="201"/>
      <c r="H704" s="201"/>
      <c r="I704" s="201"/>
      <c r="K704" s="201"/>
      <c r="L704" s="201"/>
      <c r="M704" s="201"/>
      <c r="N704" s="201"/>
      <c r="O704" s="201"/>
      <c r="P704" s="201"/>
      <c r="Q704" s="213"/>
      <c r="R704" s="213"/>
      <c r="AX704" s="201"/>
      <c r="AY704" s="201"/>
      <c r="AZ704" s="201"/>
      <c r="BA704" s="201"/>
    </row>
    <row r="705" spans="1:53">
      <c r="A705" s="201"/>
      <c r="B705" s="201"/>
      <c r="C705" s="201"/>
      <c r="D705" s="201"/>
      <c r="E705" s="201"/>
      <c r="F705" s="201"/>
      <c r="G705" s="201"/>
      <c r="H705" s="201"/>
      <c r="I705" s="201"/>
      <c r="K705" s="201"/>
      <c r="L705" s="201"/>
      <c r="M705" s="201"/>
      <c r="N705" s="201"/>
      <c r="O705" s="201"/>
      <c r="P705" s="201"/>
      <c r="Q705" s="213"/>
      <c r="R705" s="213"/>
      <c r="AX705" s="201"/>
      <c r="AY705" s="201"/>
      <c r="AZ705" s="201"/>
      <c r="BA705" s="201"/>
    </row>
    <row r="706" spans="1:53">
      <c r="A706" s="201"/>
      <c r="B706" s="201"/>
      <c r="C706" s="201"/>
      <c r="D706" s="201"/>
      <c r="E706" s="201"/>
      <c r="F706" s="201"/>
      <c r="G706" s="201"/>
      <c r="H706" s="201"/>
      <c r="I706" s="201"/>
      <c r="K706" s="201"/>
      <c r="L706" s="201"/>
      <c r="M706" s="201"/>
      <c r="N706" s="201"/>
      <c r="O706" s="201"/>
      <c r="P706" s="201"/>
      <c r="Q706" s="213"/>
      <c r="R706" s="213"/>
      <c r="AX706" s="201"/>
      <c r="AY706" s="201"/>
      <c r="AZ706" s="201"/>
      <c r="BA706" s="201"/>
    </row>
    <row r="707" spans="1:53">
      <c r="A707" s="201"/>
      <c r="B707" s="201"/>
      <c r="C707" s="201"/>
      <c r="D707" s="201"/>
      <c r="E707" s="201"/>
      <c r="F707" s="201"/>
      <c r="G707" s="201"/>
      <c r="H707" s="201"/>
      <c r="I707" s="201"/>
      <c r="K707" s="201"/>
      <c r="L707" s="201"/>
      <c r="M707" s="201"/>
      <c r="N707" s="201"/>
      <c r="O707" s="201"/>
      <c r="P707" s="201"/>
      <c r="Q707" s="213"/>
      <c r="R707" s="213"/>
      <c r="AX707" s="201"/>
      <c r="AY707" s="201"/>
      <c r="AZ707" s="201"/>
      <c r="BA707" s="201"/>
    </row>
    <row r="708" spans="1:53">
      <c r="A708" s="201"/>
      <c r="B708" s="201"/>
      <c r="C708" s="201"/>
      <c r="D708" s="201"/>
      <c r="E708" s="201"/>
      <c r="F708" s="201"/>
      <c r="G708" s="201"/>
      <c r="H708" s="201"/>
      <c r="I708" s="201"/>
      <c r="K708" s="201"/>
      <c r="L708" s="201"/>
      <c r="M708" s="201"/>
      <c r="N708" s="201"/>
      <c r="O708" s="201"/>
      <c r="P708" s="201"/>
      <c r="Q708" s="213"/>
      <c r="R708" s="213"/>
      <c r="AX708" s="201"/>
      <c r="AY708" s="201"/>
      <c r="AZ708" s="201"/>
      <c r="BA708" s="201"/>
    </row>
    <row r="709" spans="1:53">
      <c r="A709" s="201"/>
      <c r="B709" s="201"/>
      <c r="C709" s="201"/>
      <c r="D709" s="201"/>
      <c r="E709" s="201"/>
      <c r="F709" s="201"/>
      <c r="G709" s="201"/>
      <c r="H709" s="201"/>
      <c r="I709" s="201"/>
      <c r="K709" s="201"/>
      <c r="L709" s="201"/>
      <c r="M709" s="201"/>
      <c r="N709" s="201"/>
      <c r="O709" s="201"/>
      <c r="P709" s="201"/>
      <c r="Q709" s="213"/>
      <c r="R709" s="213"/>
      <c r="AX709" s="201"/>
      <c r="AY709" s="201"/>
      <c r="AZ709" s="201"/>
      <c r="BA709" s="201"/>
    </row>
    <row r="710" spans="1:53">
      <c r="A710" s="201"/>
      <c r="B710" s="201"/>
      <c r="C710" s="201"/>
      <c r="D710" s="201"/>
      <c r="E710" s="201"/>
      <c r="F710" s="201"/>
      <c r="G710" s="201"/>
      <c r="H710" s="201"/>
      <c r="I710" s="201"/>
      <c r="K710" s="201"/>
      <c r="L710" s="201"/>
      <c r="M710" s="201"/>
      <c r="N710" s="201"/>
      <c r="O710" s="201"/>
      <c r="P710" s="201"/>
      <c r="Q710" s="213"/>
      <c r="R710" s="213"/>
      <c r="AX710" s="201"/>
      <c r="AY710" s="201"/>
      <c r="AZ710" s="201"/>
      <c r="BA710" s="201"/>
    </row>
    <row r="711" spans="1:53">
      <c r="A711" s="201"/>
      <c r="B711" s="201"/>
      <c r="C711" s="201"/>
      <c r="D711" s="201"/>
      <c r="E711" s="201"/>
      <c r="F711" s="201"/>
      <c r="G711" s="201"/>
      <c r="H711" s="201"/>
      <c r="I711" s="201"/>
      <c r="K711" s="201"/>
      <c r="L711" s="201"/>
      <c r="M711" s="201"/>
      <c r="N711" s="201"/>
      <c r="O711" s="201"/>
      <c r="P711" s="201"/>
      <c r="Q711" s="213"/>
      <c r="R711" s="213"/>
      <c r="AX711" s="201"/>
      <c r="AY711" s="201"/>
      <c r="AZ711" s="201"/>
      <c r="BA711" s="201"/>
    </row>
    <row r="712" spans="1:53">
      <c r="A712" s="201"/>
      <c r="B712" s="201"/>
      <c r="C712" s="201"/>
      <c r="D712" s="201"/>
      <c r="E712" s="201"/>
      <c r="F712" s="201"/>
      <c r="G712" s="201"/>
      <c r="H712" s="201"/>
      <c r="I712" s="201"/>
      <c r="K712" s="201"/>
      <c r="L712" s="201"/>
      <c r="M712" s="201"/>
      <c r="N712" s="201"/>
      <c r="O712" s="201"/>
      <c r="P712" s="201"/>
      <c r="Q712" s="213"/>
      <c r="R712" s="213"/>
      <c r="AX712" s="201"/>
      <c r="AY712" s="201"/>
      <c r="AZ712" s="201"/>
      <c r="BA712" s="201"/>
    </row>
    <row r="713" spans="1:53">
      <c r="A713" s="201"/>
      <c r="B713" s="201"/>
      <c r="C713" s="201"/>
      <c r="D713" s="201"/>
      <c r="E713" s="201"/>
      <c r="F713" s="201"/>
      <c r="G713" s="201"/>
      <c r="H713" s="201"/>
      <c r="I713" s="201"/>
      <c r="K713" s="201"/>
      <c r="L713" s="201"/>
      <c r="M713" s="201"/>
      <c r="N713" s="201"/>
      <c r="O713" s="201"/>
      <c r="P713" s="201"/>
      <c r="Q713" s="213"/>
      <c r="R713" s="213"/>
      <c r="AX713" s="201"/>
      <c r="AY713" s="201"/>
      <c r="AZ713" s="201"/>
      <c r="BA713" s="201"/>
    </row>
    <row r="714" spans="1:53">
      <c r="A714" s="201"/>
      <c r="B714" s="201"/>
      <c r="C714" s="201"/>
      <c r="D714" s="201"/>
      <c r="E714" s="201"/>
      <c r="F714" s="201"/>
      <c r="G714" s="201"/>
      <c r="H714" s="201"/>
      <c r="I714" s="201"/>
      <c r="K714" s="201"/>
      <c r="L714" s="201"/>
      <c r="M714" s="201"/>
      <c r="N714" s="201"/>
      <c r="O714" s="201"/>
      <c r="P714" s="201"/>
      <c r="Q714" s="213"/>
      <c r="R714" s="213"/>
      <c r="AX714" s="201"/>
      <c r="AY714" s="201"/>
      <c r="AZ714" s="201"/>
      <c r="BA714" s="201"/>
    </row>
    <row r="715" spans="1:53">
      <c r="A715" s="201"/>
      <c r="B715" s="201"/>
      <c r="C715" s="201"/>
      <c r="D715" s="201"/>
      <c r="E715" s="201"/>
      <c r="F715" s="201"/>
      <c r="G715" s="201"/>
      <c r="H715" s="201"/>
      <c r="I715" s="201"/>
      <c r="K715" s="201"/>
      <c r="L715" s="201"/>
      <c r="M715" s="201"/>
      <c r="N715" s="201"/>
      <c r="O715" s="201"/>
      <c r="P715" s="201"/>
      <c r="Q715" s="213"/>
      <c r="R715" s="213"/>
      <c r="AX715" s="201"/>
      <c r="AY715" s="201"/>
      <c r="AZ715" s="201"/>
      <c r="BA715" s="201"/>
    </row>
    <row r="716" spans="1:53">
      <c r="A716" s="201"/>
      <c r="B716" s="201"/>
      <c r="C716" s="201"/>
      <c r="D716" s="201"/>
      <c r="E716" s="201"/>
      <c r="F716" s="201"/>
      <c r="G716" s="201"/>
      <c r="H716" s="201"/>
      <c r="I716" s="201"/>
      <c r="K716" s="201"/>
      <c r="L716" s="201"/>
      <c r="M716" s="201"/>
      <c r="N716" s="201"/>
      <c r="O716" s="201"/>
      <c r="P716" s="201"/>
      <c r="Q716" s="213"/>
      <c r="R716" s="213"/>
      <c r="AX716" s="201"/>
      <c r="AY716" s="201"/>
      <c r="AZ716" s="201"/>
      <c r="BA716" s="201"/>
    </row>
    <row r="717" spans="1:53">
      <c r="A717" s="201"/>
      <c r="B717" s="201"/>
      <c r="C717" s="201"/>
      <c r="D717" s="201"/>
      <c r="E717" s="201"/>
      <c r="F717" s="201"/>
      <c r="G717" s="201"/>
      <c r="H717" s="201"/>
      <c r="I717" s="201"/>
      <c r="K717" s="201"/>
      <c r="L717" s="201"/>
      <c r="M717" s="201"/>
      <c r="N717" s="201"/>
      <c r="O717" s="201"/>
      <c r="P717" s="201"/>
      <c r="Q717" s="213"/>
      <c r="R717" s="213"/>
      <c r="AX717" s="201"/>
      <c r="AY717" s="201"/>
      <c r="AZ717" s="201"/>
      <c r="BA717" s="201"/>
    </row>
    <row r="718" spans="1:53">
      <c r="A718" s="201"/>
      <c r="B718" s="201"/>
      <c r="C718" s="201"/>
      <c r="D718" s="201"/>
      <c r="E718" s="201"/>
      <c r="F718" s="201"/>
      <c r="G718" s="201"/>
      <c r="H718" s="201"/>
      <c r="I718" s="201"/>
      <c r="K718" s="201"/>
      <c r="L718" s="201"/>
      <c r="M718" s="201"/>
      <c r="N718" s="201"/>
      <c r="O718" s="201"/>
      <c r="P718" s="201"/>
      <c r="Q718" s="213"/>
      <c r="R718" s="213"/>
      <c r="AX718" s="201"/>
      <c r="AY718" s="201"/>
      <c r="AZ718" s="201"/>
      <c r="BA718" s="201"/>
    </row>
    <row r="719" spans="1:53">
      <c r="A719" s="201"/>
      <c r="B719" s="201"/>
      <c r="C719" s="201"/>
      <c r="D719" s="201"/>
      <c r="E719" s="201"/>
      <c r="F719" s="201"/>
      <c r="G719" s="201"/>
      <c r="H719" s="201"/>
      <c r="I719" s="201"/>
      <c r="K719" s="201"/>
      <c r="L719" s="201"/>
      <c r="M719" s="201"/>
      <c r="N719" s="201"/>
      <c r="O719" s="201"/>
      <c r="P719" s="201"/>
      <c r="Q719" s="213"/>
      <c r="R719" s="213"/>
      <c r="AX719" s="201"/>
      <c r="AY719" s="201"/>
      <c r="AZ719" s="201"/>
      <c r="BA719" s="201"/>
    </row>
    <row r="720" spans="1:53">
      <c r="A720" s="201"/>
      <c r="B720" s="201"/>
      <c r="C720" s="201"/>
      <c r="D720" s="201"/>
      <c r="E720" s="201"/>
      <c r="F720" s="201"/>
      <c r="G720" s="201"/>
      <c r="H720" s="201"/>
      <c r="I720" s="201"/>
      <c r="K720" s="201"/>
      <c r="L720" s="201"/>
      <c r="M720" s="201"/>
      <c r="N720" s="201"/>
      <c r="O720" s="201"/>
      <c r="P720" s="201"/>
      <c r="Q720" s="213"/>
      <c r="R720" s="213"/>
      <c r="AX720" s="201"/>
      <c r="AY720" s="201"/>
      <c r="AZ720" s="201"/>
      <c r="BA720" s="201"/>
    </row>
    <row r="721" spans="1:53">
      <c r="A721" s="201"/>
      <c r="B721" s="201"/>
      <c r="C721" s="201"/>
      <c r="D721" s="201"/>
      <c r="E721" s="201"/>
      <c r="F721" s="201"/>
      <c r="G721" s="201"/>
      <c r="H721" s="201"/>
      <c r="I721" s="201"/>
      <c r="K721" s="201"/>
      <c r="L721" s="201"/>
      <c r="M721" s="201"/>
      <c r="N721" s="201"/>
      <c r="O721" s="201"/>
      <c r="P721" s="201"/>
      <c r="Q721" s="213"/>
      <c r="R721" s="213"/>
      <c r="AX721" s="201"/>
      <c r="AY721" s="201"/>
      <c r="AZ721" s="201"/>
      <c r="BA721" s="201"/>
    </row>
    <row r="722" spans="1:53">
      <c r="A722" s="201"/>
      <c r="B722" s="201"/>
      <c r="C722" s="201"/>
      <c r="D722" s="201"/>
      <c r="E722" s="201"/>
      <c r="F722" s="201"/>
      <c r="G722" s="201"/>
      <c r="H722" s="201"/>
      <c r="I722" s="201"/>
      <c r="K722" s="201"/>
      <c r="L722" s="201"/>
      <c r="M722" s="201"/>
      <c r="N722" s="201"/>
      <c r="O722" s="201"/>
      <c r="P722" s="201"/>
      <c r="Q722" s="213"/>
      <c r="R722" s="213"/>
      <c r="AX722" s="201"/>
      <c r="AY722" s="201"/>
      <c r="AZ722" s="201"/>
      <c r="BA722" s="201"/>
    </row>
    <row r="723" spans="1:53">
      <c r="A723" s="201"/>
      <c r="B723" s="201"/>
      <c r="C723" s="201"/>
      <c r="D723" s="201"/>
      <c r="E723" s="201"/>
      <c r="F723" s="201"/>
      <c r="G723" s="201"/>
      <c r="H723" s="201"/>
      <c r="I723" s="201"/>
      <c r="K723" s="201"/>
      <c r="L723" s="201"/>
      <c r="M723" s="201"/>
      <c r="N723" s="201"/>
      <c r="O723" s="201"/>
      <c r="P723" s="201"/>
      <c r="Q723" s="213"/>
      <c r="R723" s="213"/>
      <c r="AX723" s="201"/>
      <c r="AY723" s="201"/>
      <c r="AZ723" s="201"/>
      <c r="BA723" s="201"/>
    </row>
    <row r="724" spans="1:53">
      <c r="A724" s="201"/>
      <c r="B724" s="201"/>
      <c r="C724" s="201"/>
      <c r="D724" s="201"/>
      <c r="E724" s="201"/>
      <c r="F724" s="201"/>
      <c r="G724" s="201"/>
      <c r="H724" s="201"/>
      <c r="I724" s="201"/>
      <c r="K724" s="201"/>
      <c r="L724" s="201"/>
      <c r="M724" s="201"/>
      <c r="N724" s="201"/>
      <c r="O724" s="201"/>
      <c r="P724" s="201"/>
      <c r="Q724" s="213"/>
      <c r="R724" s="213"/>
      <c r="AX724" s="201"/>
      <c r="AY724" s="201"/>
      <c r="AZ724" s="201"/>
      <c r="BA724" s="201"/>
    </row>
    <row r="725" spans="1:53">
      <c r="A725" s="201"/>
      <c r="B725" s="201"/>
      <c r="C725" s="201"/>
      <c r="D725" s="201"/>
      <c r="E725" s="201"/>
      <c r="F725" s="201"/>
      <c r="G725" s="201"/>
      <c r="H725" s="201"/>
      <c r="I725" s="201"/>
      <c r="K725" s="201"/>
      <c r="L725" s="201"/>
      <c r="M725" s="201"/>
      <c r="N725" s="201"/>
      <c r="O725" s="201"/>
      <c r="P725" s="201"/>
      <c r="Q725" s="213"/>
      <c r="R725" s="213"/>
      <c r="AX725" s="201"/>
      <c r="AY725" s="201"/>
      <c r="AZ725" s="201"/>
      <c r="BA725" s="201"/>
    </row>
    <row r="726" spans="1:53">
      <c r="A726" s="201"/>
      <c r="B726" s="201"/>
      <c r="C726" s="201"/>
      <c r="D726" s="201"/>
      <c r="E726" s="201"/>
      <c r="F726" s="201"/>
      <c r="G726" s="201"/>
      <c r="H726" s="201"/>
      <c r="I726" s="201"/>
      <c r="K726" s="201"/>
      <c r="L726" s="201"/>
      <c r="M726" s="201"/>
      <c r="N726" s="201"/>
      <c r="O726" s="201"/>
      <c r="P726" s="201"/>
      <c r="Q726" s="213"/>
      <c r="R726" s="213"/>
      <c r="AX726" s="201"/>
      <c r="AY726" s="201"/>
      <c r="AZ726" s="201"/>
      <c r="BA726" s="201"/>
    </row>
    <row r="727" spans="1:53">
      <c r="A727" s="201"/>
      <c r="B727" s="201"/>
      <c r="C727" s="201"/>
      <c r="D727" s="201"/>
      <c r="E727" s="201"/>
      <c r="F727" s="201"/>
      <c r="G727" s="201"/>
      <c r="H727" s="201"/>
      <c r="I727" s="201"/>
      <c r="K727" s="201"/>
      <c r="L727" s="201"/>
      <c r="M727" s="201"/>
      <c r="N727" s="201"/>
      <c r="O727" s="201"/>
      <c r="P727" s="201"/>
      <c r="Q727" s="213"/>
      <c r="R727" s="213"/>
      <c r="AX727" s="201"/>
      <c r="AY727" s="201"/>
      <c r="AZ727" s="201"/>
      <c r="BA727" s="201"/>
    </row>
    <row r="728" spans="1:53">
      <c r="A728" s="201"/>
      <c r="B728" s="201"/>
      <c r="C728" s="201"/>
      <c r="D728" s="201"/>
      <c r="E728" s="201"/>
      <c r="F728" s="201"/>
      <c r="G728" s="201"/>
      <c r="H728" s="201"/>
      <c r="I728" s="201"/>
      <c r="K728" s="201"/>
      <c r="L728" s="201"/>
      <c r="M728" s="201"/>
      <c r="N728" s="201"/>
      <c r="O728" s="201"/>
      <c r="P728" s="201"/>
      <c r="Q728" s="213"/>
      <c r="R728" s="213"/>
      <c r="AX728" s="201"/>
      <c r="AY728" s="201"/>
      <c r="AZ728" s="201"/>
      <c r="BA728" s="201"/>
    </row>
    <row r="729" spans="1:53">
      <c r="A729" s="201"/>
      <c r="B729" s="201"/>
      <c r="C729" s="201"/>
      <c r="D729" s="201"/>
      <c r="E729" s="201"/>
      <c r="F729" s="201"/>
      <c r="G729" s="201"/>
      <c r="H729" s="201"/>
      <c r="I729" s="201"/>
      <c r="K729" s="201"/>
      <c r="L729" s="201"/>
      <c r="M729" s="201"/>
      <c r="N729" s="201"/>
      <c r="O729" s="201"/>
      <c r="P729" s="201"/>
      <c r="Q729" s="213"/>
      <c r="R729" s="213"/>
      <c r="AX729" s="201"/>
      <c r="AY729" s="201"/>
      <c r="AZ729" s="201"/>
      <c r="BA729" s="201"/>
    </row>
    <row r="730" spans="1:53">
      <c r="A730" s="201"/>
      <c r="B730" s="201"/>
      <c r="C730" s="201"/>
      <c r="D730" s="201"/>
      <c r="E730" s="201"/>
      <c r="F730" s="201"/>
      <c r="G730" s="201"/>
      <c r="H730" s="201"/>
      <c r="I730" s="201"/>
      <c r="K730" s="201"/>
      <c r="L730" s="201"/>
      <c r="M730" s="201"/>
      <c r="N730" s="201"/>
      <c r="O730" s="201"/>
      <c r="P730" s="201"/>
      <c r="Q730" s="213"/>
      <c r="R730" s="213"/>
      <c r="AX730" s="201"/>
      <c r="AY730" s="201"/>
      <c r="AZ730" s="201"/>
      <c r="BA730" s="201"/>
    </row>
    <row r="731" spans="1:53">
      <c r="A731" s="201"/>
      <c r="B731" s="201"/>
      <c r="C731" s="201"/>
      <c r="D731" s="201"/>
      <c r="E731" s="201"/>
      <c r="F731" s="201"/>
      <c r="G731" s="201"/>
      <c r="H731" s="201"/>
      <c r="I731" s="201"/>
      <c r="K731" s="201"/>
      <c r="L731" s="201"/>
      <c r="M731" s="201"/>
      <c r="N731" s="201"/>
      <c r="O731" s="201"/>
      <c r="P731" s="201"/>
      <c r="Q731" s="213"/>
      <c r="R731" s="213"/>
      <c r="AX731" s="201"/>
      <c r="AY731" s="201"/>
      <c r="AZ731" s="201"/>
      <c r="BA731" s="201"/>
    </row>
    <row r="732" spans="1:53">
      <c r="A732" s="201"/>
      <c r="B732" s="201"/>
      <c r="C732" s="201"/>
      <c r="D732" s="201"/>
      <c r="E732" s="201"/>
      <c r="F732" s="201"/>
      <c r="G732" s="201"/>
      <c r="H732" s="201"/>
      <c r="I732" s="201"/>
      <c r="K732" s="201"/>
      <c r="L732" s="201"/>
      <c r="M732" s="201"/>
      <c r="N732" s="201"/>
      <c r="O732" s="201"/>
      <c r="P732" s="201"/>
      <c r="Q732" s="213"/>
      <c r="R732" s="213"/>
      <c r="AX732" s="201"/>
      <c r="AY732" s="201"/>
      <c r="AZ732" s="201"/>
      <c r="BA732" s="201"/>
    </row>
    <row r="733" spans="1:53">
      <c r="A733" s="201"/>
      <c r="B733" s="201"/>
      <c r="C733" s="201"/>
      <c r="D733" s="201"/>
      <c r="E733" s="201"/>
      <c r="F733" s="201"/>
      <c r="G733" s="201"/>
      <c r="H733" s="201"/>
      <c r="I733" s="201"/>
      <c r="K733" s="201"/>
      <c r="L733" s="201"/>
      <c r="M733" s="201"/>
      <c r="N733" s="201"/>
      <c r="O733" s="201"/>
      <c r="P733" s="201"/>
      <c r="Q733" s="213"/>
      <c r="R733" s="213"/>
      <c r="AX733" s="201"/>
      <c r="AY733" s="201"/>
      <c r="AZ733" s="201"/>
      <c r="BA733" s="201"/>
    </row>
    <row r="734" spans="1:53">
      <c r="A734" s="201"/>
      <c r="B734" s="201"/>
      <c r="C734" s="201"/>
      <c r="D734" s="201"/>
      <c r="E734" s="201"/>
      <c r="F734" s="201"/>
      <c r="G734" s="201"/>
      <c r="H734" s="201"/>
      <c r="I734" s="201"/>
      <c r="K734" s="201"/>
      <c r="L734" s="201"/>
      <c r="M734" s="201"/>
      <c r="N734" s="201"/>
      <c r="O734" s="201"/>
      <c r="P734" s="201"/>
      <c r="Q734" s="213"/>
      <c r="R734" s="213"/>
      <c r="AX734" s="201"/>
      <c r="AY734" s="201"/>
      <c r="AZ734" s="201"/>
      <c r="BA734" s="201"/>
    </row>
    <row r="735" spans="1:53">
      <c r="A735" s="201"/>
      <c r="B735" s="201"/>
      <c r="C735" s="201"/>
      <c r="D735" s="201"/>
      <c r="E735" s="201"/>
      <c r="F735" s="201"/>
      <c r="G735" s="201"/>
      <c r="H735" s="201"/>
      <c r="I735" s="201"/>
      <c r="K735" s="201"/>
      <c r="L735" s="201"/>
      <c r="M735" s="201"/>
      <c r="N735" s="201"/>
      <c r="O735" s="201"/>
      <c r="P735" s="201"/>
      <c r="Q735" s="213"/>
      <c r="R735" s="213"/>
      <c r="AX735" s="201"/>
      <c r="AY735" s="201"/>
      <c r="AZ735" s="201"/>
      <c r="BA735" s="201"/>
    </row>
    <row r="736" spans="1:53">
      <c r="A736" s="201"/>
      <c r="B736" s="201"/>
      <c r="C736" s="201"/>
      <c r="D736" s="201"/>
      <c r="E736" s="201"/>
      <c r="F736" s="201"/>
      <c r="G736" s="201"/>
      <c r="H736" s="201"/>
      <c r="I736" s="201"/>
      <c r="K736" s="201"/>
      <c r="L736" s="201"/>
      <c r="M736" s="201"/>
      <c r="N736" s="201"/>
      <c r="O736" s="201"/>
      <c r="P736" s="201"/>
      <c r="Q736" s="213"/>
      <c r="R736" s="213"/>
      <c r="AX736" s="201"/>
      <c r="AY736" s="201"/>
      <c r="AZ736" s="201"/>
      <c r="BA736" s="201"/>
    </row>
    <row r="737" spans="1:53">
      <c r="A737" s="201"/>
      <c r="B737" s="201"/>
      <c r="C737" s="201"/>
      <c r="D737" s="201"/>
      <c r="E737" s="201"/>
      <c r="F737" s="201"/>
      <c r="G737" s="201"/>
      <c r="H737" s="201"/>
      <c r="I737" s="201"/>
      <c r="K737" s="201"/>
      <c r="L737" s="201"/>
      <c r="M737" s="201"/>
      <c r="N737" s="201"/>
      <c r="O737" s="201"/>
      <c r="P737" s="201"/>
      <c r="Q737" s="213"/>
      <c r="R737" s="213"/>
      <c r="AX737" s="201"/>
      <c r="AY737" s="201"/>
      <c r="AZ737" s="201"/>
      <c r="BA737" s="201"/>
    </row>
    <row r="738" spans="1:53">
      <c r="A738" s="201"/>
      <c r="B738" s="201"/>
      <c r="C738" s="201"/>
      <c r="D738" s="201"/>
      <c r="E738" s="201"/>
      <c r="F738" s="201"/>
      <c r="G738" s="201"/>
      <c r="H738" s="201"/>
      <c r="I738" s="201"/>
      <c r="K738" s="201"/>
      <c r="L738" s="201"/>
      <c r="M738" s="201"/>
      <c r="N738" s="201"/>
      <c r="O738" s="201"/>
      <c r="P738" s="201"/>
      <c r="Q738" s="213"/>
      <c r="R738" s="213"/>
      <c r="AX738" s="201"/>
      <c r="AY738" s="201"/>
      <c r="AZ738" s="201"/>
      <c r="BA738" s="201"/>
    </row>
    <row r="739" spans="1:53">
      <c r="A739" s="201"/>
      <c r="B739" s="201"/>
      <c r="C739" s="201"/>
      <c r="D739" s="201"/>
      <c r="E739" s="201"/>
      <c r="F739" s="201"/>
      <c r="G739" s="201"/>
      <c r="H739" s="201"/>
      <c r="I739" s="201"/>
      <c r="K739" s="201"/>
      <c r="L739" s="201"/>
      <c r="M739" s="201"/>
      <c r="N739" s="201"/>
      <c r="O739" s="201"/>
      <c r="P739" s="201"/>
      <c r="Q739" s="213"/>
      <c r="R739" s="213"/>
      <c r="AX739" s="201"/>
      <c r="AY739" s="201"/>
      <c r="AZ739" s="201"/>
      <c r="BA739" s="201"/>
    </row>
    <row r="740" spans="1:53">
      <c r="A740" s="201"/>
      <c r="B740" s="201"/>
      <c r="C740" s="201"/>
      <c r="D740" s="201"/>
      <c r="E740" s="201"/>
      <c r="F740" s="201"/>
      <c r="G740" s="201"/>
      <c r="H740" s="201"/>
      <c r="I740" s="201"/>
      <c r="K740" s="201"/>
      <c r="L740" s="201"/>
      <c r="M740" s="201"/>
      <c r="N740" s="201"/>
      <c r="O740" s="201"/>
      <c r="P740" s="201"/>
      <c r="Q740" s="213"/>
      <c r="R740" s="213"/>
      <c r="AX740" s="201"/>
      <c r="AY740" s="201"/>
      <c r="AZ740" s="201"/>
      <c r="BA740" s="201"/>
    </row>
    <row r="741" spans="1:53">
      <c r="A741" s="201"/>
      <c r="B741" s="201"/>
      <c r="C741" s="201"/>
      <c r="D741" s="201"/>
      <c r="E741" s="201"/>
      <c r="F741" s="201"/>
      <c r="G741" s="201"/>
      <c r="H741" s="201"/>
      <c r="I741" s="201"/>
      <c r="K741" s="201"/>
      <c r="L741" s="201"/>
      <c r="M741" s="201"/>
      <c r="N741" s="201"/>
      <c r="O741" s="201"/>
      <c r="P741" s="201"/>
      <c r="Q741" s="213"/>
      <c r="R741" s="213"/>
      <c r="AX741" s="201"/>
      <c r="AY741" s="201"/>
      <c r="AZ741" s="201"/>
      <c r="BA741" s="201"/>
    </row>
    <row r="742" spans="1:53">
      <c r="A742" s="201"/>
      <c r="B742" s="201"/>
      <c r="C742" s="201"/>
      <c r="D742" s="201"/>
      <c r="E742" s="201"/>
      <c r="F742" s="201"/>
      <c r="G742" s="201"/>
      <c r="H742" s="201"/>
      <c r="I742" s="201"/>
      <c r="K742" s="201"/>
      <c r="L742" s="201"/>
      <c r="M742" s="201"/>
      <c r="N742" s="201"/>
      <c r="O742" s="201"/>
      <c r="P742" s="201"/>
      <c r="Q742" s="213"/>
      <c r="R742" s="213"/>
      <c r="AX742" s="201"/>
      <c r="AY742" s="201"/>
      <c r="AZ742" s="201"/>
      <c r="BA742" s="201"/>
    </row>
    <row r="743" spans="1:53">
      <c r="A743" s="201"/>
      <c r="B743" s="201"/>
      <c r="C743" s="201"/>
      <c r="D743" s="201"/>
      <c r="E743" s="201"/>
      <c r="F743" s="201"/>
      <c r="G743" s="201"/>
      <c r="H743" s="201"/>
      <c r="I743" s="201"/>
      <c r="K743" s="201"/>
      <c r="L743" s="201"/>
      <c r="M743" s="201"/>
      <c r="N743" s="201"/>
      <c r="O743" s="201"/>
      <c r="P743" s="201"/>
      <c r="Q743" s="213"/>
      <c r="R743" s="213"/>
      <c r="AX743" s="201"/>
      <c r="AY743" s="201"/>
      <c r="AZ743" s="201"/>
      <c r="BA743" s="201"/>
    </row>
    <row r="744" spans="1:53">
      <c r="A744" s="201"/>
      <c r="B744" s="201"/>
      <c r="C744" s="201"/>
      <c r="D744" s="201"/>
      <c r="E744" s="201"/>
      <c r="F744" s="201"/>
      <c r="G744" s="201"/>
      <c r="H744" s="201"/>
      <c r="I744" s="201"/>
      <c r="K744" s="201"/>
      <c r="L744" s="201"/>
      <c r="M744" s="201"/>
      <c r="N744" s="201"/>
      <c r="O744" s="201"/>
      <c r="P744" s="201"/>
      <c r="Q744" s="213"/>
      <c r="R744" s="213"/>
      <c r="AX744" s="201"/>
      <c r="AY744" s="201"/>
      <c r="AZ744" s="201"/>
      <c r="BA744" s="201"/>
    </row>
    <row r="745" spans="1:53">
      <c r="A745" s="201"/>
      <c r="B745" s="201"/>
      <c r="C745" s="201"/>
      <c r="D745" s="201"/>
      <c r="E745" s="201"/>
      <c r="F745" s="201"/>
      <c r="G745" s="201"/>
      <c r="H745" s="201"/>
      <c r="I745" s="201"/>
      <c r="K745" s="201"/>
      <c r="L745" s="201"/>
      <c r="M745" s="201"/>
      <c r="N745" s="201"/>
      <c r="O745" s="201"/>
      <c r="P745" s="201"/>
      <c r="Q745" s="213"/>
      <c r="R745" s="213"/>
      <c r="AX745" s="201"/>
      <c r="AY745" s="201"/>
      <c r="AZ745" s="201"/>
      <c r="BA745" s="201"/>
    </row>
    <row r="746" spans="1:53">
      <c r="A746" s="201"/>
      <c r="B746" s="201"/>
      <c r="C746" s="201"/>
      <c r="D746" s="201"/>
      <c r="E746" s="201"/>
      <c r="F746" s="201"/>
      <c r="G746" s="201"/>
      <c r="H746" s="201"/>
      <c r="I746" s="201"/>
      <c r="K746" s="201"/>
      <c r="L746" s="201"/>
      <c r="M746" s="201"/>
      <c r="N746" s="201"/>
      <c r="O746" s="201"/>
      <c r="P746" s="201"/>
      <c r="Q746" s="213"/>
      <c r="R746" s="213"/>
      <c r="AX746" s="201"/>
      <c r="AY746" s="201"/>
      <c r="AZ746" s="201"/>
      <c r="BA746" s="201"/>
    </row>
    <row r="747" spans="1:53">
      <c r="A747" s="201"/>
      <c r="B747" s="201"/>
      <c r="C747" s="201"/>
      <c r="D747" s="201"/>
      <c r="E747" s="201"/>
      <c r="F747" s="201"/>
      <c r="G747" s="201"/>
      <c r="H747" s="201"/>
      <c r="I747" s="201"/>
      <c r="K747" s="201"/>
      <c r="L747" s="201"/>
      <c r="M747" s="201"/>
      <c r="N747" s="201"/>
      <c r="O747" s="201"/>
      <c r="P747" s="201"/>
      <c r="Q747" s="213"/>
      <c r="R747" s="213"/>
      <c r="AX747" s="201"/>
      <c r="AY747" s="201"/>
      <c r="AZ747" s="201"/>
      <c r="BA747" s="201"/>
    </row>
    <row r="748" spans="1:53">
      <c r="A748" s="201"/>
      <c r="B748" s="201"/>
      <c r="C748" s="201"/>
      <c r="D748" s="201"/>
      <c r="E748" s="201"/>
      <c r="F748" s="201"/>
      <c r="G748" s="201"/>
      <c r="H748" s="201"/>
      <c r="I748" s="201"/>
      <c r="K748" s="201"/>
      <c r="L748" s="201"/>
      <c r="M748" s="201"/>
      <c r="N748" s="201"/>
      <c r="O748" s="201"/>
      <c r="P748" s="201"/>
      <c r="Q748" s="213"/>
      <c r="R748" s="213"/>
      <c r="AX748" s="201"/>
      <c r="AY748" s="201"/>
      <c r="AZ748" s="201"/>
      <c r="BA748" s="201"/>
    </row>
    <row r="749" spans="1:53">
      <c r="A749" s="201"/>
      <c r="B749" s="201"/>
      <c r="C749" s="201"/>
      <c r="D749" s="201"/>
      <c r="E749" s="201"/>
      <c r="F749" s="201"/>
      <c r="G749" s="201"/>
      <c r="H749" s="201"/>
      <c r="I749" s="201"/>
      <c r="K749" s="201"/>
      <c r="L749" s="201"/>
      <c r="M749" s="201"/>
      <c r="N749" s="201"/>
      <c r="O749" s="201"/>
      <c r="P749" s="201"/>
      <c r="Q749" s="213"/>
      <c r="R749" s="213"/>
      <c r="AX749" s="201"/>
      <c r="AY749" s="201"/>
      <c r="AZ749" s="201"/>
      <c r="BA749" s="201"/>
    </row>
    <row r="750" spans="1:53">
      <c r="A750" s="201"/>
      <c r="B750" s="201"/>
      <c r="C750" s="201"/>
      <c r="D750" s="201"/>
      <c r="E750" s="201"/>
      <c r="F750" s="201"/>
      <c r="G750" s="201"/>
      <c r="H750" s="201"/>
      <c r="I750" s="201"/>
      <c r="K750" s="201"/>
      <c r="L750" s="201"/>
      <c r="M750" s="201"/>
      <c r="N750" s="201"/>
      <c r="O750" s="201"/>
      <c r="P750" s="201"/>
      <c r="Q750" s="213"/>
      <c r="R750" s="213"/>
      <c r="AX750" s="201"/>
      <c r="AY750" s="201"/>
      <c r="AZ750" s="201"/>
      <c r="BA750" s="201"/>
    </row>
    <row r="751" spans="1:53">
      <c r="A751" s="201"/>
      <c r="B751" s="201"/>
      <c r="C751" s="201"/>
      <c r="D751" s="201"/>
      <c r="E751" s="201"/>
      <c r="F751" s="201"/>
      <c r="G751" s="201"/>
      <c r="H751" s="201"/>
      <c r="I751" s="201"/>
      <c r="K751" s="201"/>
      <c r="L751" s="201"/>
      <c r="M751" s="201"/>
      <c r="N751" s="201"/>
      <c r="O751" s="201"/>
      <c r="P751" s="201"/>
      <c r="Q751" s="213"/>
      <c r="R751" s="213"/>
      <c r="AX751" s="201"/>
      <c r="AY751" s="201"/>
      <c r="AZ751" s="201"/>
      <c r="BA751" s="201"/>
    </row>
    <row r="752" spans="1:53">
      <c r="A752" s="201"/>
      <c r="B752" s="201"/>
      <c r="C752" s="201"/>
      <c r="D752" s="201"/>
      <c r="E752" s="201"/>
      <c r="F752" s="201"/>
      <c r="G752" s="201"/>
      <c r="H752" s="201"/>
      <c r="I752" s="201"/>
      <c r="K752" s="201"/>
      <c r="L752" s="201"/>
      <c r="M752" s="201"/>
      <c r="N752" s="201"/>
      <c r="O752" s="201"/>
      <c r="P752" s="201"/>
      <c r="Q752" s="213"/>
      <c r="R752" s="213"/>
      <c r="AX752" s="201"/>
      <c r="AY752" s="201"/>
      <c r="AZ752" s="201"/>
      <c r="BA752" s="201"/>
    </row>
    <row r="753" spans="1:53">
      <c r="A753" s="201"/>
      <c r="B753" s="201"/>
      <c r="C753" s="201"/>
      <c r="D753" s="201"/>
      <c r="E753" s="201"/>
      <c r="F753" s="201"/>
      <c r="G753" s="201"/>
      <c r="H753" s="201"/>
      <c r="I753" s="201"/>
      <c r="K753" s="201"/>
      <c r="L753" s="201"/>
      <c r="M753" s="201"/>
      <c r="N753" s="201"/>
      <c r="O753" s="201"/>
      <c r="P753" s="201"/>
      <c r="Q753" s="213"/>
      <c r="R753" s="213"/>
      <c r="AX753" s="201"/>
      <c r="AY753" s="201"/>
      <c r="AZ753" s="201"/>
      <c r="BA753" s="201"/>
    </row>
    <row r="754" spans="1:53">
      <c r="A754" s="201"/>
      <c r="B754" s="201"/>
      <c r="C754" s="201"/>
      <c r="D754" s="201"/>
      <c r="E754" s="201"/>
      <c r="F754" s="201"/>
      <c r="G754" s="201"/>
      <c r="H754" s="201"/>
      <c r="I754" s="201"/>
      <c r="K754" s="201"/>
      <c r="L754" s="201"/>
      <c r="M754" s="201"/>
      <c r="N754" s="201"/>
      <c r="O754" s="201"/>
      <c r="P754" s="201"/>
      <c r="Q754" s="213"/>
      <c r="R754" s="213"/>
      <c r="AX754" s="201"/>
      <c r="AY754" s="201"/>
      <c r="AZ754" s="201"/>
      <c r="BA754" s="201"/>
    </row>
    <row r="755" spans="1:53">
      <c r="A755" s="201"/>
      <c r="B755" s="201"/>
      <c r="C755" s="201"/>
      <c r="D755" s="201"/>
      <c r="E755" s="201"/>
      <c r="F755" s="201"/>
      <c r="G755" s="201"/>
      <c r="H755" s="201"/>
      <c r="I755" s="201"/>
      <c r="K755" s="201"/>
      <c r="L755" s="201"/>
      <c r="M755" s="201"/>
      <c r="N755" s="201"/>
      <c r="O755" s="201"/>
      <c r="P755" s="201"/>
      <c r="Q755" s="213"/>
      <c r="R755" s="213"/>
      <c r="AX755" s="201"/>
      <c r="AY755" s="201"/>
      <c r="AZ755" s="201"/>
      <c r="BA755" s="201"/>
    </row>
    <row r="756" spans="1:53">
      <c r="A756" s="201"/>
      <c r="B756" s="201"/>
      <c r="C756" s="201"/>
      <c r="D756" s="201"/>
      <c r="E756" s="201"/>
      <c r="F756" s="201"/>
      <c r="G756" s="201"/>
      <c r="H756" s="201"/>
      <c r="I756" s="201"/>
      <c r="K756" s="201"/>
      <c r="L756" s="201"/>
      <c r="M756" s="201"/>
      <c r="N756" s="201"/>
      <c r="O756" s="201"/>
      <c r="P756" s="201"/>
      <c r="Q756" s="213"/>
      <c r="R756" s="213"/>
      <c r="AX756" s="201"/>
      <c r="AY756" s="201"/>
      <c r="AZ756" s="201"/>
      <c r="BA756" s="201"/>
    </row>
    <row r="757" spans="1:53">
      <c r="A757" s="201"/>
      <c r="B757" s="201"/>
      <c r="C757" s="201"/>
      <c r="D757" s="201"/>
      <c r="E757" s="201"/>
      <c r="F757" s="201"/>
      <c r="G757" s="201"/>
      <c r="H757" s="201"/>
      <c r="I757" s="201"/>
      <c r="K757" s="201"/>
      <c r="L757" s="201"/>
      <c r="M757" s="201"/>
      <c r="N757" s="201"/>
      <c r="O757" s="201"/>
      <c r="P757" s="201"/>
      <c r="Q757" s="213"/>
      <c r="R757" s="213"/>
      <c r="AX757" s="201"/>
      <c r="AY757" s="201"/>
      <c r="AZ757" s="201"/>
      <c r="BA757" s="201"/>
    </row>
    <row r="758" spans="1:53">
      <c r="A758" s="201"/>
      <c r="B758" s="201"/>
      <c r="C758" s="201"/>
      <c r="D758" s="201"/>
      <c r="E758" s="201"/>
      <c r="F758" s="201"/>
      <c r="G758" s="201"/>
      <c r="H758" s="201"/>
      <c r="I758" s="201"/>
      <c r="K758" s="201"/>
      <c r="L758" s="201"/>
      <c r="M758" s="201"/>
      <c r="N758" s="201"/>
      <c r="O758" s="201"/>
      <c r="P758" s="201"/>
      <c r="Q758" s="213"/>
      <c r="R758" s="213"/>
      <c r="AX758" s="201"/>
      <c r="AY758" s="201"/>
      <c r="AZ758" s="201"/>
      <c r="BA758" s="201"/>
    </row>
    <row r="759" spans="1:53">
      <c r="A759" s="201"/>
      <c r="B759" s="201"/>
      <c r="C759" s="201"/>
      <c r="D759" s="201"/>
      <c r="E759" s="201"/>
      <c r="F759" s="201"/>
      <c r="G759" s="201"/>
      <c r="H759" s="201"/>
      <c r="I759" s="201"/>
      <c r="K759" s="201"/>
      <c r="L759" s="201"/>
      <c r="M759" s="201"/>
      <c r="N759" s="201"/>
      <c r="O759" s="201"/>
      <c r="P759" s="201"/>
      <c r="Q759" s="213"/>
      <c r="R759" s="213"/>
      <c r="AX759" s="201"/>
      <c r="AY759" s="201"/>
      <c r="AZ759" s="201"/>
      <c r="BA759" s="201"/>
    </row>
    <row r="760" spans="1:53">
      <c r="A760" s="201"/>
      <c r="B760" s="201"/>
      <c r="C760" s="201"/>
      <c r="D760" s="201"/>
      <c r="E760" s="201"/>
      <c r="F760" s="201"/>
      <c r="G760" s="201"/>
      <c r="H760" s="201"/>
      <c r="I760" s="201"/>
      <c r="K760" s="201"/>
      <c r="L760" s="201"/>
      <c r="M760" s="201"/>
      <c r="N760" s="201"/>
      <c r="O760" s="201"/>
      <c r="P760" s="201"/>
      <c r="Q760" s="213"/>
      <c r="R760" s="213"/>
      <c r="AX760" s="201"/>
      <c r="AY760" s="201"/>
      <c r="AZ760" s="201"/>
      <c r="BA760" s="201"/>
    </row>
    <row r="761" spans="1:53">
      <c r="A761" s="201"/>
      <c r="B761" s="201"/>
      <c r="C761" s="201"/>
      <c r="D761" s="201"/>
      <c r="E761" s="201"/>
      <c r="F761" s="201"/>
      <c r="G761" s="201"/>
      <c r="H761" s="201"/>
      <c r="I761" s="201"/>
      <c r="K761" s="201"/>
      <c r="L761" s="201"/>
      <c r="M761" s="201"/>
      <c r="N761" s="201"/>
      <c r="O761" s="201"/>
      <c r="P761" s="201"/>
      <c r="Q761" s="213"/>
      <c r="R761" s="213"/>
      <c r="AX761" s="201"/>
      <c r="AY761" s="201"/>
      <c r="AZ761" s="201"/>
      <c r="BA761" s="201"/>
    </row>
    <row r="762" spans="1:53">
      <c r="A762" s="201"/>
      <c r="B762" s="201"/>
      <c r="C762" s="201"/>
      <c r="D762" s="201"/>
      <c r="E762" s="201"/>
      <c r="F762" s="201"/>
      <c r="G762" s="201"/>
      <c r="H762" s="201"/>
      <c r="I762" s="201"/>
      <c r="K762" s="201"/>
      <c r="L762" s="201"/>
      <c r="M762" s="201"/>
      <c r="N762" s="201"/>
      <c r="O762" s="201"/>
      <c r="P762" s="201"/>
      <c r="Q762" s="213"/>
      <c r="R762" s="213"/>
      <c r="AX762" s="201"/>
      <c r="AY762" s="201"/>
      <c r="AZ762" s="201"/>
      <c r="BA762" s="201"/>
    </row>
    <row r="763" spans="1:53">
      <c r="A763" s="201"/>
      <c r="B763" s="201"/>
      <c r="C763" s="201"/>
      <c r="D763" s="201"/>
      <c r="E763" s="201"/>
      <c r="F763" s="201"/>
      <c r="G763" s="201"/>
      <c r="H763" s="201"/>
      <c r="I763" s="201"/>
      <c r="K763" s="201"/>
      <c r="L763" s="201"/>
      <c r="M763" s="201"/>
      <c r="N763" s="201"/>
      <c r="O763" s="201"/>
      <c r="P763" s="201"/>
      <c r="Q763" s="213"/>
      <c r="R763" s="213"/>
      <c r="AX763" s="201"/>
      <c r="AY763" s="201"/>
      <c r="AZ763" s="201"/>
      <c r="BA763" s="201"/>
    </row>
    <row r="764" spans="1:53">
      <c r="A764" s="201"/>
      <c r="B764" s="201"/>
      <c r="C764" s="201"/>
      <c r="D764" s="201"/>
      <c r="E764" s="201"/>
      <c r="F764" s="201"/>
      <c r="G764" s="201"/>
      <c r="H764" s="201"/>
      <c r="I764" s="201"/>
      <c r="K764" s="201"/>
      <c r="L764" s="201"/>
      <c r="M764" s="201"/>
      <c r="N764" s="201"/>
      <c r="O764" s="201"/>
      <c r="P764" s="201"/>
      <c r="Q764" s="213"/>
      <c r="R764" s="213"/>
      <c r="AX764" s="201"/>
      <c r="AY764" s="201"/>
      <c r="AZ764" s="201"/>
      <c r="BA764" s="201"/>
    </row>
    <row r="765" spans="1:53">
      <c r="A765" s="201"/>
      <c r="B765" s="201"/>
      <c r="C765" s="201"/>
      <c r="D765" s="201"/>
      <c r="E765" s="201"/>
      <c r="F765" s="201"/>
      <c r="G765" s="201"/>
      <c r="H765" s="201"/>
      <c r="I765" s="201"/>
      <c r="K765" s="201"/>
      <c r="L765" s="201"/>
      <c r="M765" s="201"/>
      <c r="N765" s="201"/>
      <c r="O765" s="201"/>
      <c r="P765" s="201"/>
      <c r="Q765" s="213"/>
      <c r="R765" s="213"/>
      <c r="AX765" s="201"/>
      <c r="AY765" s="201"/>
      <c r="AZ765" s="201"/>
      <c r="BA765" s="201"/>
    </row>
    <row r="766" spans="1:53">
      <c r="A766" s="201"/>
      <c r="B766" s="201"/>
      <c r="C766" s="201"/>
      <c r="D766" s="201"/>
      <c r="E766" s="201"/>
      <c r="F766" s="201"/>
      <c r="G766" s="201"/>
      <c r="H766" s="201"/>
      <c r="I766" s="201"/>
      <c r="K766" s="201"/>
      <c r="L766" s="201"/>
      <c r="M766" s="201"/>
      <c r="N766" s="201"/>
      <c r="O766" s="201"/>
      <c r="P766" s="201"/>
      <c r="Q766" s="213"/>
      <c r="R766" s="213"/>
      <c r="AX766" s="201"/>
      <c r="AY766" s="201"/>
      <c r="AZ766" s="201"/>
      <c r="BA766" s="201"/>
    </row>
    <row r="767" spans="1:53">
      <c r="A767" s="201"/>
      <c r="B767" s="201"/>
      <c r="C767" s="201"/>
      <c r="D767" s="201"/>
      <c r="E767" s="201"/>
      <c r="F767" s="201"/>
      <c r="G767" s="201"/>
      <c r="H767" s="201"/>
      <c r="I767" s="201"/>
      <c r="K767" s="201"/>
      <c r="L767" s="201"/>
      <c r="M767" s="201"/>
      <c r="N767" s="201"/>
      <c r="O767" s="201"/>
      <c r="P767" s="201"/>
      <c r="Q767" s="213"/>
      <c r="R767" s="213"/>
      <c r="AX767" s="201"/>
      <c r="AY767" s="201"/>
      <c r="AZ767" s="201"/>
      <c r="BA767" s="201"/>
    </row>
    <row r="768" spans="1:53">
      <c r="A768" s="201"/>
      <c r="B768" s="201"/>
      <c r="C768" s="201"/>
      <c r="D768" s="201"/>
      <c r="E768" s="201"/>
      <c r="F768" s="201"/>
      <c r="G768" s="201"/>
      <c r="H768" s="201"/>
      <c r="I768" s="201"/>
      <c r="K768" s="201"/>
      <c r="L768" s="201"/>
      <c r="M768" s="201"/>
      <c r="N768" s="201"/>
      <c r="O768" s="201"/>
      <c r="P768" s="201"/>
      <c r="Q768" s="213"/>
      <c r="R768" s="213"/>
      <c r="AX768" s="201"/>
      <c r="AY768" s="201"/>
      <c r="AZ768" s="201"/>
      <c r="BA768" s="201"/>
    </row>
    <row r="769" spans="1:53">
      <c r="A769" s="201"/>
      <c r="B769" s="201"/>
      <c r="C769" s="201"/>
      <c r="D769" s="201"/>
      <c r="E769" s="201"/>
      <c r="F769" s="201"/>
      <c r="G769" s="201"/>
      <c r="H769" s="201"/>
      <c r="I769" s="201"/>
      <c r="K769" s="201"/>
      <c r="L769" s="201"/>
      <c r="M769" s="201"/>
      <c r="N769" s="201"/>
      <c r="O769" s="201"/>
      <c r="P769" s="201"/>
      <c r="Q769" s="213"/>
      <c r="R769" s="213"/>
      <c r="AX769" s="201"/>
      <c r="AY769" s="201"/>
      <c r="AZ769" s="201"/>
      <c r="BA769" s="201"/>
    </row>
    <row r="770" spans="1:53">
      <c r="A770" s="201"/>
      <c r="B770" s="201"/>
      <c r="C770" s="201"/>
      <c r="D770" s="201"/>
      <c r="E770" s="201"/>
      <c r="F770" s="201"/>
      <c r="G770" s="201"/>
      <c r="H770" s="201"/>
      <c r="I770" s="201"/>
      <c r="K770" s="201"/>
      <c r="L770" s="201"/>
      <c r="M770" s="201"/>
      <c r="N770" s="201"/>
      <c r="O770" s="201"/>
      <c r="P770" s="201"/>
      <c r="Q770" s="213"/>
      <c r="R770" s="213"/>
      <c r="AX770" s="201"/>
      <c r="AY770" s="201"/>
      <c r="AZ770" s="201"/>
      <c r="BA770" s="201"/>
    </row>
    <row r="771" spans="1:53">
      <c r="A771" s="201"/>
      <c r="B771" s="201"/>
      <c r="C771" s="201"/>
      <c r="D771" s="201"/>
      <c r="E771" s="201"/>
      <c r="F771" s="201"/>
      <c r="G771" s="201"/>
      <c r="H771" s="201"/>
      <c r="I771" s="201"/>
      <c r="K771" s="201"/>
      <c r="L771" s="201"/>
      <c r="M771" s="201"/>
      <c r="N771" s="201"/>
      <c r="O771" s="201"/>
      <c r="P771" s="201"/>
      <c r="Q771" s="213"/>
      <c r="R771" s="213"/>
      <c r="AX771" s="201"/>
      <c r="AY771" s="201"/>
      <c r="AZ771" s="201"/>
      <c r="BA771" s="201"/>
    </row>
    <row r="772" spans="1:53">
      <c r="A772" s="201"/>
      <c r="B772" s="201"/>
      <c r="C772" s="201"/>
      <c r="D772" s="201"/>
      <c r="E772" s="201"/>
      <c r="F772" s="201"/>
      <c r="G772" s="201"/>
      <c r="H772" s="201"/>
      <c r="I772" s="201"/>
      <c r="K772" s="201"/>
      <c r="L772" s="201"/>
      <c r="M772" s="201"/>
      <c r="N772" s="201"/>
      <c r="O772" s="201"/>
      <c r="P772" s="201"/>
      <c r="Q772" s="213"/>
      <c r="R772" s="213"/>
      <c r="AX772" s="201"/>
      <c r="AY772" s="201"/>
      <c r="AZ772" s="201"/>
      <c r="BA772" s="201"/>
    </row>
    <row r="773" spans="1:53">
      <c r="A773" s="201"/>
      <c r="B773" s="201"/>
      <c r="C773" s="201"/>
      <c r="D773" s="201"/>
      <c r="E773" s="201"/>
      <c r="F773" s="201"/>
      <c r="G773" s="201"/>
      <c r="H773" s="201"/>
      <c r="I773" s="201"/>
      <c r="K773" s="201"/>
      <c r="L773" s="201"/>
      <c r="M773" s="201"/>
      <c r="N773" s="201"/>
      <c r="O773" s="201"/>
      <c r="P773" s="201"/>
      <c r="Q773" s="213"/>
      <c r="R773" s="213"/>
      <c r="AX773" s="201"/>
      <c r="AY773" s="201"/>
      <c r="AZ773" s="201"/>
      <c r="BA773" s="201"/>
    </row>
    <row r="774" spans="1:53">
      <c r="A774" s="201"/>
      <c r="B774" s="201"/>
      <c r="C774" s="201"/>
      <c r="D774" s="201"/>
      <c r="E774" s="201"/>
      <c r="F774" s="201"/>
      <c r="G774" s="201"/>
      <c r="H774" s="201"/>
      <c r="I774" s="201"/>
      <c r="K774" s="201"/>
      <c r="L774" s="201"/>
      <c r="M774" s="201"/>
      <c r="N774" s="201"/>
      <c r="O774" s="201"/>
      <c r="P774" s="201"/>
      <c r="Q774" s="213"/>
      <c r="R774" s="213"/>
      <c r="AX774" s="201"/>
      <c r="AY774" s="201"/>
      <c r="AZ774" s="201"/>
      <c r="BA774" s="201"/>
    </row>
    <row r="775" spans="1:53">
      <c r="A775" s="201"/>
      <c r="B775" s="201"/>
      <c r="C775" s="201"/>
      <c r="D775" s="201"/>
      <c r="E775" s="201"/>
      <c r="F775" s="201"/>
      <c r="G775" s="201"/>
      <c r="H775" s="201"/>
      <c r="I775" s="201"/>
      <c r="K775" s="201"/>
      <c r="L775" s="201"/>
      <c r="M775" s="201"/>
      <c r="N775" s="201"/>
      <c r="O775" s="201"/>
      <c r="P775" s="201"/>
      <c r="Q775" s="213"/>
      <c r="R775" s="213"/>
      <c r="AX775" s="201"/>
      <c r="AY775" s="201"/>
      <c r="AZ775" s="201"/>
      <c r="BA775" s="201"/>
    </row>
    <row r="776" spans="1:53">
      <c r="A776" s="201"/>
      <c r="B776" s="201"/>
      <c r="C776" s="201"/>
      <c r="D776" s="201"/>
      <c r="E776" s="201"/>
      <c r="F776" s="201"/>
      <c r="G776" s="201"/>
      <c r="H776" s="201"/>
      <c r="I776" s="201"/>
      <c r="K776" s="201"/>
      <c r="L776" s="201"/>
      <c r="M776" s="201"/>
      <c r="N776" s="201"/>
      <c r="O776" s="201"/>
      <c r="P776" s="201"/>
      <c r="Q776" s="213"/>
      <c r="R776" s="213"/>
      <c r="AX776" s="201"/>
      <c r="AY776" s="201"/>
      <c r="AZ776" s="201"/>
      <c r="BA776" s="201"/>
    </row>
    <row r="777" spans="1:53">
      <c r="A777" s="201"/>
      <c r="B777" s="201"/>
      <c r="C777" s="201"/>
      <c r="D777" s="201"/>
      <c r="E777" s="201"/>
      <c r="F777" s="201"/>
      <c r="G777" s="201"/>
      <c r="H777" s="201"/>
      <c r="I777" s="201"/>
      <c r="K777" s="201"/>
      <c r="L777" s="201"/>
      <c r="M777" s="201"/>
      <c r="N777" s="201"/>
      <c r="O777" s="201"/>
      <c r="P777" s="201"/>
      <c r="Q777" s="213"/>
      <c r="R777" s="213"/>
      <c r="AX777" s="201"/>
      <c r="AY777" s="201"/>
      <c r="AZ777" s="201"/>
      <c r="BA777" s="201"/>
    </row>
    <row r="778" spans="1:53">
      <c r="A778" s="201"/>
      <c r="B778" s="201"/>
      <c r="C778" s="201"/>
      <c r="D778" s="201"/>
      <c r="E778" s="201"/>
      <c r="F778" s="201"/>
      <c r="G778" s="201"/>
      <c r="H778" s="201"/>
      <c r="I778" s="201"/>
      <c r="K778" s="201"/>
      <c r="L778" s="201"/>
      <c r="M778" s="201"/>
      <c r="N778" s="201"/>
      <c r="O778" s="201"/>
      <c r="P778" s="201"/>
      <c r="Q778" s="213"/>
      <c r="R778" s="213"/>
      <c r="AX778" s="201"/>
      <c r="AY778" s="201"/>
      <c r="AZ778" s="201"/>
      <c r="BA778" s="201"/>
    </row>
    <row r="779" spans="1:53">
      <c r="A779" s="201"/>
      <c r="B779" s="201"/>
      <c r="C779" s="201"/>
      <c r="D779" s="201"/>
      <c r="E779" s="201"/>
      <c r="F779" s="201"/>
      <c r="G779" s="201"/>
      <c r="H779" s="201"/>
      <c r="I779" s="201"/>
      <c r="K779" s="201"/>
      <c r="L779" s="201"/>
      <c r="M779" s="201"/>
      <c r="N779" s="201"/>
      <c r="O779" s="201"/>
      <c r="P779" s="201"/>
      <c r="Q779" s="213"/>
      <c r="R779" s="213"/>
      <c r="AX779" s="201"/>
      <c r="AY779" s="201"/>
      <c r="AZ779" s="201"/>
      <c r="BA779" s="201"/>
    </row>
    <row r="780" spans="1:53">
      <c r="A780" s="201"/>
      <c r="B780" s="201"/>
      <c r="C780" s="201"/>
      <c r="D780" s="201"/>
      <c r="E780" s="201"/>
      <c r="F780" s="201"/>
      <c r="G780" s="201"/>
      <c r="H780" s="201"/>
      <c r="I780" s="201"/>
      <c r="K780" s="201"/>
      <c r="L780" s="201"/>
      <c r="M780" s="201"/>
      <c r="N780" s="201"/>
      <c r="O780" s="201"/>
      <c r="P780" s="201"/>
      <c r="Q780" s="213"/>
      <c r="R780" s="213"/>
      <c r="AX780" s="201"/>
      <c r="AY780" s="201"/>
      <c r="AZ780" s="201"/>
      <c r="BA780" s="201"/>
    </row>
    <row r="781" spans="1:53">
      <c r="A781" s="201"/>
      <c r="B781" s="201"/>
      <c r="C781" s="201"/>
      <c r="D781" s="201"/>
      <c r="E781" s="201"/>
      <c r="F781" s="201"/>
      <c r="G781" s="201"/>
      <c r="H781" s="201"/>
      <c r="I781" s="201"/>
      <c r="K781" s="201"/>
      <c r="L781" s="201"/>
      <c r="M781" s="201"/>
      <c r="N781" s="201"/>
      <c r="O781" s="201"/>
      <c r="P781" s="201"/>
      <c r="Q781" s="213"/>
      <c r="R781" s="213"/>
      <c r="AX781" s="201"/>
      <c r="AY781" s="201"/>
      <c r="AZ781" s="201"/>
      <c r="BA781" s="201"/>
    </row>
    <row r="782" spans="1:53">
      <c r="A782" s="201"/>
      <c r="B782" s="201"/>
      <c r="C782" s="201"/>
      <c r="D782" s="201"/>
      <c r="E782" s="201"/>
      <c r="F782" s="201"/>
      <c r="G782" s="201"/>
      <c r="H782" s="201"/>
      <c r="I782" s="201"/>
      <c r="K782" s="201"/>
      <c r="L782" s="201"/>
      <c r="M782" s="201"/>
      <c r="N782" s="201"/>
      <c r="O782" s="201"/>
      <c r="P782" s="201"/>
      <c r="Q782" s="213"/>
      <c r="R782" s="213"/>
      <c r="AX782" s="201"/>
      <c r="AY782" s="201"/>
      <c r="AZ782" s="201"/>
      <c r="BA782" s="201"/>
    </row>
    <row r="783" spans="1:53">
      <c r="A783" s="201"/>
      <c r="B783" s="201"/>
      <c r="C783" s="201"/>
      <c r="D783" s="201"/>
      <c r="E783" s="201"/>
      <c r="F783" s="201"/>
      <c r="G783" s="201"/>
      <c r="H783" s="201"/>
      <c r="I783" s="201"/>
      <c r="K783" s="201"/>
      <c r="L783" s="201"/>
      <c r="M783" s="201"/>
      <c r="N783" s="201"/>
      <c r="O783" s="201"/>
      <c r="P783" s="201"/>
      <c r="Q783" s="213"/>
      <c r="R783" s="213"/>
      <c r="AX783" s="201"/>
      <c r="AY783" s="201"/>
      <c r="AZ783" s="201"/>
      <c r="BA783" s="201"/>
    </row>
    <row r="784" spans="1:53">
      <c r="A784" s="201"/>
      <c r="B784" s="201"/>
      <c r="C784" s="201"/>
      <c r="D784" s="201"/>
      <c r="E784" s="201"/>
      <c r="F784" s="201"/>
      <c r="G784" s="201"/>
      <c r="H784" s="201"/>
      <c r="I784" s="201"/>
      <c r="K784" s="201"/>
      <c r="L784" s="201"/>
      <c r="M784" s="201"/>
      <c r="N784" s="201"/>
      <c r="O784" s="201"/>
      <c r="P784" s="201"/>
      <c r="Q784" s="213"/>
      <c r="R784" s="213"/>
      <c r="AX784" s="201"/>
      <c r="AY784" s="201"/>
      <c r="AZ784" s="201"/>
      <c r="BA784" s="201"/>
    </row>
    <row r="785" spans="1:53">
      <c r="A785" s="201"/>
      <c r="B785" s="201"/>
      <c r="C785" s="201"/>
      <c r="D785" s="201"/>
      <c r="E785" s="201"/>
      <c r="F785" s="201"/>
      <c r="G785" s="201"/>
      <c r="H785" s="201"/>
      <c r="I785" s="201"/>
      <c r="K785" s="201"/>
      <c r="L785" s="201"/>
      <c r="M785" s="201"/>
      <c r="N785" s="201"/>
      <c r="O785" s="201"/>
      <c r="P785" s="201"/>
      <c r="Q785" s="213"/>
      <c r="R785" s="213"/>
      <c r="AX785" s="201"/>
      <c r="AY785" s="201"/>
      <c r="AZ785" s="201"/>
      <c r="BA785" s="201"/>
    </row>
    <row r="786" spans="1:53">
      <c r="A786" s="201"/>
      <c r="B786" s="201"/>
      <c r="C786" s="201"/>
      <c r="D786" s="201"/>
      <c r="E786" s="201"/>
      <c r="F786" s="201"/>
      <c r="G786" s="201"/>
      <c r="H786" s="201"/>
      <c r="I786" s="201"/>
      <c r="K786" s="201"/>
      <c r="L786" s="201"/>
      <c r="M786" s="201"/>
      <c r="N786" s="201"/>
      <c r="O786" s="201"/>
      <c r="P786" s="201"/>
      <c r="Q786" s="213"/>
      <c r="R786" s="213"/>
      <c r="AX786" s="201"/>
      <c r="AY786" s="201"/>
      <c r="AZ786" s="201"/>
      <c r="BA786" s="201"/>
    </row>
    <row r="787" spans="1:53">
      <c r="M787" s="201"/>
      <c r="N787" s="201"/>
      <c r="O787" s="201"/>
      <c r="P787" s="201"/>
      <c r="Q787" s="213"/>
      <c r="R787" s="213"/>
    </row>
    <row r="788" spans="1:53">
      <c r="M788" s="201"/>
      <c r="N788" s="201"/>
      <c r="O788" s="201"/>
      <c r="P788" s="201"/>
      <c r="Q788" s="213"/>
      <c r="R788" s="213"/>
    </row>
    <row r="789" spans="1:53">
      <c r="M789" s="201"/>
      <c r="N789" s="201"/>
      <c r="O789" s="201"/>
      <c r="P789" s="201"/>
      <c r="Q789" s="213"/>
      <c r="R789" s="213"/>
    </row>
    <row r="790" spans="1:53">
      <c r="M790" s="201"/>
      <c r="N790" s="201"/>
      <c r="O790" s="201"/>
      <c r="P790" s="201"/>
      <c r="Q790" s="213"/>
      <c r="R790" s="213"/>
    </row>
    <row r="791" spans="1:53">
      <c r="M791" s="201"/>
      <c r="N791" s="201"/>
      <c r="O791" s="201"/>
      <c r="P791" s="201"/>
      <c r="Q791" s="213"/>
      <c r="R791" s="213"/>
    </row>
    <row r="792" spans="1:53">
      <c r="M792" s="201"/>
      <c r="N792" s="201"/>
      <c r="O792" s="201"/>
      <c r="P792" s="201"/>
      <c r="Q792" s="213"/>
      <c r="R792" s="213"/>
    </row>
    <row r="793" spans="1:53">
      <c r="M793" s="201"/>
      <c r="N793" s="201"/>
      <c r="O793" s="201"/>
      <c r="P793" s="201"/>
      <c r="Q793" s="213"/>
      <c r="R793" s="213"/>
    </row>
    <row r="794" spans="1:53">
      <c r="M794" s="201"/>
      <c r="N794" s="201"/>
      <c r="O794" s="201"/>
      <c r="P794" s="201"/>
      <c r="Q794" s="213"/>
      <c r="R794" s="213"/>
    </row>
    <row r="795" spans="1:53">
      <c r="M795" s="201"/>
      <c r="N795" s="201"/>
      <c r="O795" s="201"/>
      <c r="P795" s="201"/>
      <c r="Q795" s="213"/>
      <c r="R795" s="213"/>
    </row>
    <row r="796" spans="1:53">
      <c r="M796" s="201"/>
      <c r="N796" s="201"/>
      <c r="O796" s="201"/>
      <c r="P796" s="201"/>
      <c r="Q796" s="213"/>
      <c r="R796" s="213"/>
    </row>
    <row r="797" spans="1:53">
      <c r="M797" s="201"/>
      <c r="N797" s="201"/>
      <c r="O797" s="201"/>
      <c r="P797" s="201"/>
      <c r="Q797" s="213"/>
      <c r="R797" s="213"/>
    </row>
    <row r="798" spans="1:53">
      <c r="A798" s="201"/>
      <c r="B798" s="201"/>
      <c r="C798" s="201"/>
      <c r="D798" s="201"/>
      <c r="E798" s="201"/>
      <c r="F798" s="201"/>
      <c r="G798" s="201"/>
      <c r="H798" s="201"/>
      <c r="I798" s="201"/>
      <c r="K798" s="201"/>
      <c r="L798" s="201"/>
      <c r="M798" s="201"/>
      <c r="N798" s="201"/>
      <c r="O798" s="201"/>
      <c r="P798" s="201"/>
      <c r="Q798" s="213"/>
      <c r="R798" s="213"/>
      <c r="AX798" s="201"/>
      <c r="AY798" s="201"/>
      <c r="AZ798" s="201"/>
      <c r="BA798" s="201"/>
    </row>
    <row r="799" spans="1:53">
      <c r="A799" s="201"/>
      <c r="B799" s="201"/>
      <c r="C799" s="201"/>
      <c r="D799" s="201"/>
      <c r="E799" s="201"/>
      <c r="F799" s="201"/>
      <c r="G799" s="201"/>
      <c r="H799" s="201"/>
      <c r="I799" s="201"/>
      <c r="K799" s="201"/>
      <c r="L799" s="201"/>
      <c r="M799" s="201"/>
      <c r="N799" s="201"/>
      <c r="O799" s="201"/>
      <c r="P799" s="201"/>
      <c r="Q799" s="213"/>
      <c r="R799" s="213"/>
      <c r="AX799" s="201"/>
      <c r="AY799" s="201"/>
      <c r="AZ799" s="201"/>
      <c r="BA799" s="201"/>
    </row>
    <row r="800" spans="1:53">
      <c r="A800" s="201"/>
      <c r="B800" s="201"/>
      <c r="C800" s="201"/>
      <c r="D800" s="201"/>
      <c r="E800" s="201"/>
      <c r="F800" s="201"/>
      <c r="G800" s="201"/>
      <c r="H800" s="201"/>
      <c r="I800" s="201"/>
      <c r="K800" s="201"/>
      <c r="L800" s="201"/>
      <c r="M800" s="201"/>
      <c r="N800" s="201"/>
      <c r="O800" s="201"/>
      <c r="P800" s="201"/>
      <c r="Q800" s="213"/>
      <c r="R800" s="213"/>
      <c r="AX800" s="201"/>
      <c r="AY800" s="201"/>
      <c r="AZ800" s="201"/>
      <c r="BA800" s="201"/>
    </row>
    <row r="801" spans="1:53">
      <c r="A801" s="201"/>
      <c r="B801" s="201"/>
      <c r="C801" s="201"/>
      <c r="D801" s="201"/>
      <c r="E801" s="201"/>
      <c r="F801" s="201"/>
      <c r="G801" s="201"/>
      <c r="H801" s="201"/>
      <c r="I801" s="201"/>
      <c r="K801" s="201"/>
      <c r="L801" s="201"/>
      <c r="M801" s="201"/>
      <c r="N801" s="201"/>
      <c r="O801" s="201"/>
      <c r="P801" s="201"/>
      <c r="Q801" s="213"/>
      <c r="R801" s="213"/>
      <c r="AX801" s="201"/>
      <c r="AY801" s="201"/>
      <c r="AZ801" s="201"/>
      <c r="BA801" s="201"/>
    </row>
    <row r="802" spans="1:53">
      <c r="A802" s="201"/>
      <c r="B802" s="201"/>
      <c r="C802" s="201"/>
      <c r="D802" s="201"/>
      <c r="E802" s="201"/>
      <c r="F802" s="201"/>
      <c r="G802" s="201"/>
      <c r="H802" s="201"/>
      <c r="I802" s="201"/>
      <c r="K802" s="201"/>
      <c r="L802" s="201"/>
      <c r="M802" s="201"/>
      <c r="N802" s="201"/>
      <c r="O802" s="201"/>
      <c r="P802" s="201"/>
      <c r="Q802" s="213"/>
      <c r="R802" s="213"/>
      <c r="AX802" s="201"/>
      <c r="AY802" s="201"/>
      <c r="AZ802" s="201"/>
      <c r="BA802" s="201"/>
    </row>
    <row r="803" spans="1:53">
      <c r="A803" s="201"/>
      <c r="B803" s="201"/>
      <c r="C803" s="201"/>
      <c r="D803" s="201"/>
      <c r="E803" s="201"/>
      <c r="F803" s="201"/>
      <c r="G803" s="201"/>
      <c r="H803" s="201"/>
      <c r="I803" s="201"/>
      <c r="K803" s="201"/>
      <c r="L803" s="201"/>
      <c r="M803" s="201"/>
      <c r="N803" s="201"/>
      <c r="O803" s="201"/>
      <c r="P803" s="201"/>
      <c r="Q803" s="213"/>
      <c r="R803" s="213"/>
      <c r="AX803" s="201"/>
      <c r="AY803" s="201"/>
      <c r="AZ803" s="201"/>
      <c r="BA803" s="201"/>
    </row>
    <row r="804" spans="1:53">
      <c r="A804" s="201"/>
      <c r="B804" s="201"/>
      <c r="C804" s="201"/>
      <c r="D804" s="201"/>
      <c r="E804" s="201"/>
      <c r="F804" s="201"/>
      <c r="G804" s="201"/>
      <c r="H804" s="201"/>
      <c r="I804" s="201"/>
      <c r="K804" s="201"/>
      <c r="L804" s="201"/>
      <c r="M804" s="201"/>
      <c r="N804" s="201"/>
      <c r="O804" s="201"/>
      <c r="P804" s="201"/>
      <c r="Q804" s="213"/>
      <c r="R804" s="213"/>
      <c r="AX804" s="201"/>
      <c r="AY804" s="201"/>
      <c r="AZ804" s="201"/>
      <c r="BA804" s="201"/>
    </row>
    <row r="805" spans="1:53">
      <c r="A805" s="201"/>
      <c r="B805" s="201"/>
      <c r="C805" s="201"/>
      <c r="D805" s="201"/>
      <c r="E805" s="201"/>
      <c r="F805" s="201"/>
      <c r="G805" s="201"/>
      <c r="H805" s="201"/>
      <c r="I805" s="201"/>
      <c r="K805" s="201"/>
      <c r="L805" s="201"/>
      <c r="M805" s="201"/>
      <c r="N805" s="201"/>
      <c r="O805" s="201"/>
      <c r="P805" s="201"/>
      <c r="Q805" s="213"/>
      <c r="R805" s="213"/>
      <c r="AX805" s="201"/>
      <c r="AY805" s="201"/>
      <c r="AZ805" s="201"/>
      <c r="BA805" s="201"/>
    </row>
    <row r="806" spans="1:53">
      <c r="A806" s="201"/>
      <c r="B806" s="201"/>
      <c r="C806" s="201"/>
      <c r="D806" s="201"/>
      <c r="E806" s="201"/>
      <c r="F806" s="201"/>
      <c r="G806" s="201"/>
      <c r="H806" s="201"/>
      <c r="I806" s="201"/>
      <c r="K806" s="201"/>
      <c r="L806" s="201"/>
      <c r="M806" s="201"/>
      <c r="N806" s="201"/>
      <c r="O806" s="201"/>
      <c r="P806" s="201"/>
      <c r="Q806" s="213"/>
      <c r="R806" s="213"/>
      <c r="AX806" s="201"/>
      <c r="AY806" s="201"/>
      <c r="AZ806" s="201"/>
      <c r="BA806" s="201"/>
    </row>
    <row r="807" spans="1:53">
      <c r="A807" s="201"/>
      <c r="B807" s="201"/>
      <c r="C807" s="201"/>
      <c r="D807" s="201"/>
      <c r="E807" s="201"/>
      <c r="F807" s="201"/>
      <c r="G807" s="201"/>
      <c r="H807" s="201"/>
      <c r="I807" s="201"/>
      <c r="K807" s="201"/>
      <c r="L807" s="201"/>
      <c r="M807" s="201"/>
      <c r="N807" s="201"/>
      <c r="O807" s="201"/>
      <c r="P807" s="201"/>
      <c r="Q807" s="213"/>
      <c r="R807" s="213"/>
      <c r="AX807" s="201"/>
      <c r="AY807" s="201"/>
      <c r="AZ807" s="201"/>
      <c r="BA807" s="201"/>
    </row>
    <row r="808" spans="1:53">
      <c r="A808" s="201"/>
      <c r="B808" s="201"/>
      <c r="C808" s="201"/>
      <c r="D808" s="201"/>
      <c r="E808" s="201"/>
      <c r="F808" s="201"/>
      <c r="G808" s="201"/>
      <c r="H808" s="201"/>
      <c r="I808" s="201"/>
      <c r="K808" s="201"/>
      <c r="L808" s="201"/>
      <c r="M808" s="201"/>
      <c r="N808" s="201"/>
      <c r="O808" s="201"/>
      <c r="P808" s="201"/>
      <c r="Q808" s="213"/>
      <c r="R808" s="213"/>
      <c r="AX808" s="201"/>
      <c r="AY808" s="201"/>
      <c r="AZ808" s="201"/>
      <c r="BA808" s="201"/>
    </row>
    <row r="809" spans="1:53">
      <c r="A809" s="201"/>
      <c r="B809" s="201"/>
      <c r="C809" s="201"/>
      <c r="D809" s="201"/>
      <c r="E809" s="201"/>
      <c r="F809" s="201"/>
      <c r="G809" s="201"/>
      <c r="H809" s="201"/>
      <c r="I809" s="201"/>
      <c r="K809" s="201"/>
      <c r="L809" s="201"/>
      <c r="M809" s="201"/>
      <c r="N809" s="201"/>
      <c r="O809" s="201"/>
      <c r="P809" s="201"/>
      <c r="Q809" s="213"/>
      <c r="R809" s="213"/>
      <c r="AX809" s="201"/>
      <c r="AY809" s="201"/>
      <c r="AZ809" s="201"/>
      <c r="BA809" s="201"/>
    </row>
    <row r="810" spans="1:53">
      <c r="A810" s="201"/>
      <c r="B810" s="201"/>
      <c r="C810" s="201"/>
      <c r="D810" s="201"/>
      <c r="E810" s="201"/>
      <c r="F810" s="201"/>
      <c r="G810" s="201"/>
      <c r="H810" s="201"/>
      <c r="I810" s="201"/>
      <c r="K810" s="201"/>
      <c r="L810" s="201"/>
      <c r="M810" s="201"/>
      <c r="N810" s="201"/>
      <c r="O810" s="201"/>
      <c r="P810" s="201"/>
      <c r="Q810" s="213"/>
      <c r="R810" s="213"/>
      <c r="AX810" s="201"/>
      <c r="AY810" s="201"/>
      <c r="AZ810" s="201"/>
      <c r="BA810" s="201"/>
    </row>
    <row r="811" spans="1:53">
      <c r="A811" s="201"/>
      <c r="B811" s="201"/>
      <c r="C811" s="201"/>
      <c r="D811" s="201"/>
      <c r="E811" s="201"/>
      <c r="F811" s="201"/>
      <c r="G811" s="201"/>
      <c r="H811" s="201"/>
      <c r="I811" s="201"/>
      <c r="K811" s="201"/>
      <c r="L811" s="201"/>
      <c r="M811" s="201"/>
      <c r="N811" s="201"/>
      <c r="O811" s="201"/>
      <c r="P811" s="201"/>
      <c r="Q811" s="213"/>
      <c r="R811" s="213"/>
      <c r="AX811" s="201"/>
      <c r="AY811" s="201"/>
      <c r="AZ811" s="201"/>
      <c r="BA811" s="201"/>
    </row>
    <row r="812" spans="1:53">
      <c r="A812" s="201"/>
      <c r="B812" s="201"/>
      <c r="C812" s="201"/>
      <c r="D812" s="201"/>
      <c r="E812" s="201"/>
      <c r="F812" s="201"/>
      <c r="G812" s="201"/>
      <c r="H812" s="201"/>
      <c r="I812" s="201"/>
      <c r="K812" s="201"/>
      <c r="L812" s="201"/>
      <c r="M812" s="201"/>
      <c r="N812" s="201"/>
      <c r="O812" s="201"/>
      <c r="P812" s="201"/>
      <c r="Q812" s="213"/>
      <c r="R812" s="213"/>
      <c r="AX812" s="201"/>
      <c r="AY812" s="201"/>
      <c r="AZ812" s="201"/>
      <c r="BA812" s="201"/>
    </row>
    <row r="813" spans="1:53">
      <c r="A813" s="201"/>
      <c r="B813" s="201"/>
      <c r="C813" s="201"/>
      <c r="D813" s="201"/>
      <c r="E813" s="201"/>
      <c r="F813" s="201"/>
      <c r="G813" s="201"/>
      <c r="H813" s="201"/>
      <c r="I813" s="201"/>
      <c r="K813" s="201"/>
      <c r="L813" s="201"/>
      <c r="M813" s="201"/>
      <c r="N813" s="201"/>
      <c r="O813" s="201"/>
      <c r="P813" s="201"/>
      <c r="Q813" s="213"/>
      <c r="R813" s="213"/>
      <c r="AX813" s="201"/>
      <c r="AY813" s="201"/>
      <c r="AZ813" s="201"/>
      <c r="BA813" s="201"/>
    </row>
    <row r="814" spans="1:53">
      <c r="A814" s="201"/>
      <c r="B814" s="201"/>
      <c r="C814" s="201"/>
      <c r="D814" s="201"/>
      <c r="E814" s="201"/>
      <c r="F814" s="201"/>
      <c r="G814" s="201"/>
      <c r="H814" s="201"/>
      <c r="I814" s="201"/>
      <c r="K814" s="201"/>
      <c r="L814" s="201"/>
      <c r="M814" s="201"/>
      <c r="N814" s="201"/>
      <c r="O814" s="201"/>
      <c r="P814" s="201"/>
      <c r="Q814" s="213"/>
      <c r="R814" s="213"/>
      <c r="AX814" s="201"/>
      <c r="AY814" s="201"/>
      <c r="AZ814" s="201"/>
      <c r="BA814" s="201"/>
    </row>
    <row r="815" spans="1:53">
      <c r="A815" s="201"/>
      <c r="B815" s="201"/>
      <c r="C815" s="201"/>
      <c r="D815" s="201"/>
      <c r="E815" s="201"/>
      <c r="F815" s="201"/>
      <c r="G815" s="201"/>
      <c r="H815" s="201"/>
      <c r="I815" s="201"/>
      <c r="K815" s="201"/>
      <c r="L815" s="201"/>
      <c r="M815" s="201"/>
      <c r="N815" s="201"/>
      <c r="O815" s="201"/>
      <c r="P815" s="201"/>
      <c r="Q815" s="213"/>
      <c r="R815" s="213"/>
      <c r="AX815" s="201"/>
      <c r="AY815" s="201"/>
      <c r="AZ815" s="201"/>
      <c r="BA815" s="201"/>
    </row>
    <row r="816" spans="1:53">
      <c r="A816" s="201"/>
      <c r="B816" s="201"/>
      <c r="C816" s="201"/>
      <c r="D816" s="201"/>
      <c r="E816" s="201"/>
      <c r="F816" s="201"/>
      <c r="G816" s="201"/>
      <c r="H816" s="201"/>
      <c r="I816" s="201"/>
      <c r="K816" s="201"/>
      <c r="L816" s="201"/>
      <c r="M816" s="201"/>
      <c r="N816" s="201"/>
      <c r="O816" s="201"/>
      <c r="P816" s="201"/>
      <c r="Q816" s="213"/>
      <c r="R816" s="213"/>
      <c r="AX816" s="201"/>
      <c r="AY816" s="201"/>
      <c r="AZ816" s="201"/>
      <c r="BA816" s="201"/>
    </row>
    <row r="817" spans="1:53">
      <c r="A817" s="201"/>
      <c r="B817" s="201"/>
      <c r="C817" s="201"/>
      <c r="D817" s="201"/>
      <c r="E817" s="201"/>
      <c r="F817" s="201"/>
      <c r="G817" s="201"/>
      <c r="H817" s="201"/>
      <c r="I817" s="201"/>
      <c r="K817" s="201"/>
      <c r="L817" s="201"/>
      <c r="M817" s="201"/>
      <c r="N817" s="201"/>
      <c r="O817" s="201"/>
      <c r="P817" s="201"/>
      <c r="Q817" s="213"/>
      <c r="R817" s="213"/>
      <c r="AX817" s="201"/>
      <c r="AY817" s="201"/>
      <c r="AZ817" s="201"/>
      <c r="BA817" s="201"/>
    </row>
    <row r="818" spans="1:53">
      <c r="A818" s="201"/>
      <c r="B818" s="201"/>
      <c r="C818" s="201"/>
      <c r="D818" s="201"/>
      <c r="E818" s="201"/>
      <c r="F818" s="201"/>
      <c r="G818" s="201"/>
      <c r="H818" s="201"/>
      <c r="I818" s="201"/>
      <c r="K818" s="201"/>
      <c r="L818" s="201"/>
      <c r="M818" s="201"/>
      <c r="N818" s="201"/>
      <c r="O818" s="201"/>
      <c r="P818" s="201"/>
      <c r="Q818" s="213"/>
      <c r="R818" s="213"/>
      <c r="AX818" s="201"/>
      <c r="AY818" s="201"/>
      <c r="AZ818" s="201"/>
      <c r="BA818" s="201"/>
    </row>
    <row r="819" spans="1:53">
      <c r="A819" s="201"/>
      <c r="B819" s="201"/>
      <c r="C819" s="201"/>
      <c r="D819" s="201"/>
      <c r="E819" s="201"/>
      <c r="F819" s="201"/>
      <c r="G819" s="201"/>
      <c r="H819" s="201"/>
      <c r="I819" s="201"/>
      <c r="K819" s="201"/>
      <c r="L819" s="201"/>
      <c r="M819" s="201"/>
      <c r="N819" s="201"/>
      <c r="O819" s="201"/>
      <c r="P819" s="201"/>
      <c r="Q819" s="213"/>
      <c r="R819" s="213"/>
      <c r="AX819" s="201"/>
      <c r="AY819" s="201"/>
      <c r="AZ819" s="201"/>
      <c r="BA819" s="201"/>
    </row>
    <row r="820" spans="1:53">
      <c r="A820" s="201"/>
      <c r="B820" s="201"/>
      <c r="C820" s="201"/>
      <c r="D820" s="201"/>
      <c r="E820" s="201"/>
      <c r="F820" s="201"/>
      <c r="G820" s="201"/>
      <c r="H820" s="201"/>
      <c r="I820" s="201"/>
      <c r="K820" s="201"/>
      <c r="L820" s="201"/>
      <c r="M820" s="201"/>
      <c r="N820" s="201"/>
      <c r="O820" s="201"/>
      <c r="P820" s="201"/>
      <c r="Q820" s="213"/>
      <c r="R820" s="213"/>
      <c r="AX820" s="201"/>
      <c r="AY820" s="201"/>
      <c r="AZ820" s="201"/>
      <c r="BA820" s="201"/>
    </row>
    <row r="821" spans="1:53">
      <c r="A821" s="201"/>
      <c r="B821" s="201"/>
      <c r="C821" s="201"/>
      <c r="D821" s="201"/>
      <c r="E821" s="201"/>
      <c r="F821" s="201"/>
      <c r="G821" s="201"/>
      <c r="H821" s="201"/>
      <c r="I821" s="201"/>
      <c r="K821" s="201"/>
      <c r="L821" s="201"/>
      <c r="M821" s="201"/>
      <c r="N821" s="201"/>
      <c r="O821" s="201"/>
      <c r="P821" s="201"/>
      <c r="Q821" s="213"/>
      <c r="R821" s="213"/>
      <c r="AX821" s="201"/>
      <c r="AY821" s="201"/>
      <c r="AZ821" s="201"/>
      <c r="BA821" s="201"/>
    </row>
    <row r="822" spans="1:53">
      <c r="A822" s="201"/>
      <c r="B822" s="201"/>
      <c r="C822" s="201"/>
      <c r="D822" s="201"/>
      <c r="E822" s="201"/>
      <c r="F822" s="201"/>
      <c r="G822" s="201"/>
      <c r="H822" s="201"/>
      <c r="I822" s="201"/>
      <c r="K822" s="201"/>
      <c r="L822" s="201"/>
      <c r="M822" s="201"/>
      <c r="N822" s="201"/>
      <c r="O822" s="201"/>
      <c r="P822" s="201"/>
      <c r="Q822" s="213"/>
      <c r="R822" s="213"/>
      <c r="AX822" s="201"/>
      <c r="AY822" s="201"/>
      <c r="AZ822" s="201"/>
      <c r="BA822" s="201"/>
    </row>
    <row r="823" spans="1:53">
      <c r="A823" s="201"/>
      <c r="B823" s="201"/>
      <c r="C823" s="201"/>
      <c r="D823" s="201"/>
      <c r="E823" s="201"/>
      <c r="F823" s="201"/>
      <c r="G823" s="201"/>
      <c r="H823" s="201"/>
      <c r="I823" s="201"/>
      <c r="K823" s="201"/>
      <c r="L823" s="201"/>
      <c r="M823" s="201"/>
      <c r="N823" s="201"/>
      <c r="O823" s="201"/>
      <c r="P823" s="201"/>
      <c r="Q823" s="213"/>
      <c r="R823" s="213"/>
      <c r="AX823" s="201"/>
      <c r="AY823" s="201"/>
      <c r="AZ823" s="201"/>
      <c r="BA823" s="201"/>
    </row>
    <row r="824" spans="1:53">
      <c r="A824" s="201"/>
      <c r="B824" s="201"/>
      <c r="C824" s="201"/>
      <c r="D824" s="201"/>
      <c r="E824" s="201"/>
      <c r="F824" s="201"/>
      <c r="G824" s="201"/>
      <c r="H824" s="201"/>
      <c r="I824" s="201"/>
      <c r="K824" s="201"/>
      <c r="L824" s="201"/>
      <c r="M824" s="201"/>
      <c r="N824" s="201"/>
      <c r="O824" s="201"/>
      <c r="P824" s="201"/>
      <c r="Q824" s="213"/>
      <c r="R824" s="213"/>
      <c r="AX824" s="201"/>
      <c r="AY824" s="201"/>
      <c r="AZ824" s="201"/>
      <c r="BA824" s="201"/>
    </row>
    <row r="825" spans="1:53">
      <c r="A825" s="201"/>
      <c r="B825" s="201"/>
      <c r="C825" s="201"/>
      <c r="D825" s="201"/>
      <c r="E825" s="201"/>
      <c r="F825" s="201"/>
      <c r="G825" s="201"/>
      <c r="H825" s="201"/>
      <c r="I825" s="201"/>
      <c r="K825" s="201"/>
      <c r="L825" s="201"/>
      <c r="M825" s="201"/>
      <c r="N825" s="201"/>
      <c r="O825" s="201"/>
      <c r="P825" s="201"/>
      <c r="Q825" s="213"/>
      <c r="R825" s="213"/>
      <c r="AX825" s="201"/>
      <c r="AY825" s="201"/>
      <c r="AZ825" s="201"/>
      <c r="BA825" s="201"/>
    </row>
    <row r="826" spans="1:53">
      <c r="A826" s="201"/>
      <c r="B826" s="201"/>
      <c r="C826" s="201"/>
      <c r="D826" s="201"/>
      <c r="E826" s="201"/>
      <c r="F826" s="201"/>
      <c r="G826" s="201"/>
      <c r="H826" s="201"/>
      <c r="I826" s="201"/>
      <c r="K826" s="201"/>
      <c r="L826" s="201"/>
      <c r="M826" s="201"/>
      <c r="N826" s="201"/>
      <c r="O826" s="201"/>
      <c r="P826" s="201"/>
      <c r="Q826" s="213"/>
      <c r="R826" s="213"/>
      <c r="AX826" s="201"/>
      <c r="AY826" s="201"/>
      <c r="AZ826" s="201"/>
      <c r="BA826" s="201"/>
    </row>
    <row r="827" spans="1:53">
      <c r="A827" s="201"/>
      <c r="B827" s="201"/>
      <c r="C827" s="201"/>
      <c r="D827" s="201"/>
      <c r="E827" s="201"/>
      <c r="F827" s="201"/>
      <c r="G827" s="201"/>
      <c r="H827" s="201"/>
      <c r="I827" s="201"/>
      <c r="K827" s="201"/>
      <c r="L827" s="201"/>
      <c r="M827" s="201"/>
      <c r="N827" s="201"/>
      <c r="O827" s="201"/>
      <c r="P827" s="201"/>
      <c r="Q827" s="213"/>
      <c r="R827" s="213"/>
      <c r="AX827" s="201"/>
      <c r="AY827" s="201"/>
      <c r="AZ827" s="201"/>
      <c r="BA827" s="201"/>
    </row>
    <row r="828" spans="1:53">
      <c r="A828" s="201"/>
      <c r="B828" s="201"/>
      <c r="C828" s="201"/>
      <c r="D828" s="201"/>
      <c r="E828" s="201"/>
      <c r="F828" s="201"/>
      <c r="G828" s="201"/>
      <c r="H828" s="201"/>
      <c r="I828" s="201"/>
      <c r="K828" s="201"/>
      <c r="L828" s="201"/>
      <c r="M828" s="201"/>
      <c r="N828" s="201"/>
      <c r="O828" s="201"/>
      <c r="P828" s="201"/>
      <c r="Q828" s="213"/>
      <c r="R828" s="213"/>
      <c r="AX828" s="201"/>
      <c r="AY828" s="201"/>
      <c r="AZ828" s="201"/>
      <c r="BA828" s="201"/>
    </row>
    <row r="829" spans="1:53">
      <c r="A829" s="201"/>
      <c r="B829" s="201"/>
      <c r="C829" s="201"/>
      <c r="D829" s="201"/>
      <c r="E829" s="201"/>
      <c r="F829" s="201"/>
      <c r="G829" s="201"/>
      <c r="H829" s="201"/>
      <c r="I829" s="201"/>
      <c r="K829" s="201"/>
      <c r="L829" s="201"/>
      <c r="M829" s="201"/>
      <c r="N829" s="201"/>
      <c r="O829" s="201"/>
      <c r="P829" s="201"/>
      <c r="Q829" s="213"/>
      <c r="R829" s="213"/>
      <c r="AX829" s="201"/>
      <c r="AY829" s="201"/>
      <c r="AZ829" s="201"/>
      <c r="BA829" s="201"/>
    </row>
    <row r="830" spans="1:53">
      <c r="A830" s="201"/>
      <c r="B830" s="201"/>
      <c r="C830" s="201"/>
      <c r="D830" s="201"/>
      <c r="E830" s="201"/>
      <c r="F830" s="201"/>
      <c r="G830" s="201"/>
      <c r="H830" s="201"/>
      <c r="I830" s="201"/>
      <c r="K830" s="201"/>
      <c r="L830" s="201"/>
      <c r="M830" s="201"/>
      <c r="N830" s="201"/>
      <c r="O830" s="201"/>
      <c r="P830" s="201"/>
      <c r="Q830" s="213"/>
      <c r="R830" s="213"/>
      <c r="AX830" s="201"/>
      <c r="AY830" s="201"/>
      <c r="AZ830" s="201"/>
      <c r="BA830" s="201"/>
    </row>
    <row r="831" spans="1:53">
      <c r="A831" s="201"/>
      <c r="B831" s="201"/>
      <c r="C831" s="201"/>
      <c r="D831" s="201"/>
      <c r="E831" s="201"/>
      <c r="F831" s="201"/>
      <c r="G831" s="201"/>
      <c r="H831" s="201"/>
      <c r="I831" s="201"/>
      <c r="K831" s="201"/>
      <c r="L831" s="201"/>
      <c r="M831" s="201"/>
      <c r="N831" s="201"/>
      <c r="O831" s="201"/>
      <c r="P831" s="201"/>
      <c r="Q831" s="213"/>
      <c r="R831" s="213"/>
      <c r="AX831" s="201"/>
      <c r="AY831" s="201"/>
      <c r="AZ831" s="201"/>
      <c r="BA831" s="201"/>
    </row>
    <row r="832" spans="1:53">
      <c r="A832" s="201"/>
      <c r="B832" s="201"/>
      <c r="C832" s="201"/>
      <c r="D832" s="201"/>
      <c r="E832" s="201"/>
      <c r="F832" s="201"/>
      <c r="G832" s="201"/>
      <c r="H832" s="201"/>
      <c r="I832" s="201"/>
      <c r="K832" s="201"/>
      <c r="L832" s="201"/>
      <c r="M832" s="201"/>
      <c r="N832" s="201"/>
      <c r="O832" s="201"/>
      <c r="P832" s="201"/>
      <c r="Q832" s="213"/>
      <c r="R832" s="213"/>
      <c r="AX832" s="201"/>
      <c r="AY832" s="201"/>
      <c r="AZ832" s="201"/>
      <c r="BA832" s="201"/>
    </row>
    <row r="833" spans="1:53">
      <c r="A833" s="201"/>
      <c r="B833" s="201"/>
      <c r="C833" s="201"/>
      <c r="D833" s="201"/>
      <c r="E833" s="201"/>
      <c r="F833" s="201"/>
      <c r="G833" s="201"/>
      <c r="H833" s="201"/>
      <c r="I833" s="201"/>
      <c r="K833" s="201"/>
      <c r="L833" s="201"/>
      <c r="M833" s="201"/>
      <c r="N833" s="201"/>
      <c r="O833" s="201"/>
      <c r="P833" s="201"/>
      <c r="Q833" s="213"/>
      <c r="R833" s="213"/>
      <c r="AX833" s="201"/>
      <c r="AY833" s="201"/>
      <c r="AZ833" s="201"/>
      <c r="BA833" s="201"/>
    </row>
    <row r="834" spans="1:53">
      <c r="A834" s="201"/>
      <c r="B834" s="201"/>
      <c r="C834" s="201"/>
      <c r="D834" s="201"/>
      <c r="E834" s="201"/>
      <c r="F834" s="201"/>
      <c r="G834" s="201"/>
      <c r="H834" s="201"/>
      <c r="I834" s="201"/>
      <c r="K834" s="201"/>
      <c r="L834" s="201"/>
      <c r="M834" s="201"/>
      <c r="N834" s="201"/>
      <c r="O834" s="201"/>
      <c r="P834" s="201"/>
      <c r="Q834" s="213"/>
      <c r="R834" s="213"/>
      <c r="AX834" s="201"/>
      <c r="AY834" s="201"/>
      <c r="AZ834" s="201"/>
      <c r="BA834" s="201"/>
    </row>
    <row r="835" spans="1:53">
      <c r="A835" s="201"/>
      <c r="B835" s="201"/>
      <c r="C835" s="201"/>
      <c r="D835" s="201"/>
      <c r="E835" s="201"/>
      <c r="F835" s="201"/>
      <c r="G835" s="201"/>
      <c r="H835" s="201"/>
      <c r="I835" s="201"/>
      <c r="K835" s="201"/>
      <c r="L835" s="201"/>
      <c r="M835" s="201"/>
      <c r="N835" s="201"/>
      <c r="O835" s="201"/>
      <c r="P835" s="201"/>
      <c r="Q835" s="213"/>
      <c r="R835" s="213"/>
      <c r="AX835" s="201"/>
      <c r="AY835" s="201"/>
      <c r="AZ835" s="201"/>
      <c r="BA835" s="201"/>
    </row>
    <row r="836" spans="1:53">
      <c r="A836" s="201"/>
      <c r="B836" s="201"/>
      <c r="C836" s="201"/>
      <c r="D836" s="201"/>
      <c r="E836" s="201"/>
      <c r="F836" s="201"/>
      <c r="G836" s="201"/>
      <c r="H836" s="201"/>
      <c r="I836" s="201"/>
      <c r="K836" s="201"/>
      <c r="L836" s="201"/>
      <c r="M836" s="201"/>
      <c r="N836" s="201"/>
      <c r="O836" s="201"/>
      <c r="P836" s="201"/>
      <c r="Q836" s="213"/>
      <c r="R836" s="213"/>
      <c r="AX836" s="201"/>
      <c r="AY836" s="201"/>
      <c r="AZ836" s="201"/>
      <c r="BA836" s="201"/>
    </row>
    <row r="837" spans="1:53">
      <c r="A837" s="201"/>
      <c r="B837" s="201"/>
      <c r="C837" s="201"/>
      <c r="D837" s="201"/>
      <c r="E837" s="201"/>
      <c r="F837" s="201"/>
      <c r="G837" s="201"/>
      <c r="H837" s="201"/>
      <c r="I837" s="201"/>
      <c r="K837" s="201"/>
      <c r="L837" s="201"/>
      <c r="M837" s="201"/>
      <c r="N837" s="201"/>
      <c r="O837" s="201"/>
      <c r="P837" s="201"/>
      <c r="Q837" s="213"/>
      <c r="R837" s="213"/>
      <c r="AX837" s="201"/>
      <c r="AY837" s="201"/>
      <c r="AZ837" s="201"/>
      <c r="BA837" s="201"/>
    </row>
    <row r="838" spans="1:53">
      <c r="A838" s="201"/>
      <c r="B838" s="201"/>
      <c r="C838" s="201"/>
      <c r="D838" s="201"/>
      <c r="E838" s="201"/>
      <c r="F838" s="201"/>
      <c r="G838" s="201"/>
      <c r="H838" s="201"/>
      <c r="I838" s="201"/>
      <c r="K838" s="201"/>
      <c r="L838" s="201"/>
      <c r="M838" s="201"/>
      <c r="N838" s="201"/>
      <c r="O838" s="201"/>
      <c r="P838" s="201"/>
      <c r="Q838" s="213"/>
      <c r="R838" s="213"/>
      <c r="AX838" s="201"/>
      <c r="AY838" s="201"/>
      <c r="AZ838" s="201"/>
      <c r="BA838" s="201"/>
    </row>
    <row r="839" spans="1:53">
      <c r="A839" s="201"/>
      <c r="B839" s="201"/>
      <c r="C839" s="201"/>
      <c r="D839" s="201"/>
      <c r="E839" s="201"/>
      <c r="F839" s="201"/>
      <c r="G839" s="201"/>
      <c r="H839" s="201"/>
      <c r="I839" s="201"/>
      <c r="K839" s="201"/>
      <c r="L839" s="201"/>
      <c r="M839" s="201"/>
      <c r="N839" s="201"/>
      <c r="O839" s="201"/>
      <c r="P839" s="201"/>
      <c r="Q839" s="213"/>
      <c r="R839" s="213"/>
      <c r="AX839" s="201"/>
      <c r="AY839" s="201"/>
      <c r="AZ839" s="201"/>
      <c r="BA839" s="201"/>
    </row>
    <row r="840" spans="1:53">
      <c r="A840" s="201"/>
      <c r="B840" s="201"/>
      <c r="C840" s="201"/>
      <c r="D840" s="201"/>
      <c r="E840" s="201"/>
      <c r="F840" s="201"/>
      <c r="G840" s="201"/>
      <c r="H840" s="201"/>
      <c r="I840" s="201"/>
      <c r="K840" s="201"/>
      <c r="L840" s="201"/>
      <c r="M840" s="201"/>
      <c r="N840" s="201"/>
      <c r="O840" s="201"/>
      <c r="P840" s="201"/>
      <c r="Q840" s="213"/>
      <c r="R840" s="213"/>
      <c r="AX840" s="201"/>
      <c r="AY840" s="201"/>
      <c r="AZ840" s="201"/>
      <c r="BA840" s="201"/>
    </row>
    <row r="841" spans="1:53">
      <c r="A841" s="201"/>
      <c r="B841" s="201"/>
      <c r="C841" s="201"/>
      <c r="D841" s="201"/>
      <c r="E841" s="201"/>
      <c r="F841" s="201"/>
      <c r="G841" s="201"/>
      <c r="H841" s="201"/>
      <c r="I841" s="201"/>
      <c r="K841" s="201"/>
      <c r="L841" s="201"/>
      <c r="M841" s="201"/>
      <c r="N841" s="201"/>
      <c r="O841" s="201"/>
      <c r="P841" s="201"/>
      <c r="Q841" s="213"/>
      <c r="R841" s="213"/>
      <c r="AX841" s="201"/>
      <c r="AY841" s="201"/>
      <c r="AZ841" s="201"/>
      <c r="BA841" s="201"/>
    </row>
    <row r="842" spans="1:53">
      <c r="A842" s="201"/>
      <c r="B842" s="201"/>
      <c r="C842" s="201"/>
      <c r="D842" s="201"/>
      <c r="E842" s="201"/>
      <c r="F842" s="201"/>
      <c r="G842" s="201"/>
      <c r="H842" s="201"/>
      <c r="I842" s="201"/>
      <c r="K842" s="201"/>
      <c r="L842" s="201"/>
      <c r="M842" s="201"/>
      <c r="N842" s="201"/>
      <c r="O842" s="201"/>
      <c r="P842" s="201"/>
      <c r="Q842" s="213"/>
      <c r="R842" s="213"/>
      <c r="AX842" s="201"/>
      <c r="AY842" s="201"/>
      <c r="AZ842" s="201"/>
      <c r="BA842" s="201"/>
    </row>
    <row r="843" spans="1:53">
      <c r="A843" s="201"/>
      <c r="B843" s="201"/>
      <c r="C843" s="201"/>
      <c r="D843" s="201"/>
      <c r="E843" s="201"/>
      <c r="F843" s="201"/>
      <c r="G843" s="201"/>
      <c r="H843" s="201"/>
      <c r="I843" s="201"/>
      <c r="K843" s="201"/>
      <c r="L843" s="201"/>
      <c r="M843" s="201"/>
      <c r="N843" s="201"/>
      <c r="O843" s="201"/>
      <c r="P843" s="201"/>
      <c r="Q843" s="213"/>
      <c r="R843" s="213"/>
      <c r="AX843" s="201"/>
      <c r="AY843" s="201"/>
      <c r="AZ843" s="201"/>
      <c r="BA843" s="201"/>
    </row>
    <row r="844" spans="1:53">
      <c r="A844" s="201"/>
      <c r="B844" s="201"/>
      <c r="C844" s="201"/>
      <c r="D844" s="201"/>
      <c r="E844" s="201"/>
      <c r="F844" s="201"/>
      <c r="G844" s="201"/>
      <c r="H844" s="201"/>
      <c r="I844" s="201"/>
      <c r="K844" s="201"/>
      <c r="L844" s="201"/>
      <c r="M844" s="201"/>
      <c r="N844" s="201"/>
      <c r="O844" s="201"/>
      <c r="P844" s="201"/>
      <c r="Q844" s="213"/>
      <c r="R844" s="213"/>
      <c r="AX844" s="201"/>
      <c r="AY844" s="201"/>
      <c r="AZ844" s="201"/>
      <c r="BA844" s="201"/>
    </row>
    <row r="845" spans="1:53">
      <c r="A845" s="201"/>
      <c r="B845" s="201"/>
      <c r="C845" s="201"/>
      <c r="D845" s="201"/>
      <c r="E845" s="201"/>
      <c r="F845" s="201"/>
      <c r="G845" s="201"/>
      <c r="H845" s="201"/>
      <c r="I845" s="201"/>
      <c r="K845" s="201"/>
      <c r="L845" s="201"/>
      <c r="M845" s="201"/>
      <c r="N845" s="201"/>
      <c r="O845" s="201"/>
      <c r="P845" s="201"/>
      <c r="Q845" s="213"/>
      <c r="R845" s="213"/>
      <c r="AX845" s="201"/>
      <c r="AY845" s="201"/>
      <c r="AZ845" s="201"/>
      <c r="BA845" s="201"/>
    </row>
  </sheetData>
  <mergeCells count="78">
    <mergeCell ref="X6:AA7"/>
    <mergeCell ref="Q8:Q12"/>
    <mergeCell ref="M6:N7"/>
    <mergeCell ref="O6:P7"/>
    <mergeCell ref="N8:N12"/>
    <mergeCell ref="O8:O12"/>
    <mergeCell ref="X8:X12"/>
    <mergeCell ref="J8:J12"/>
    <mergeCell ref="Q6:R7"/>
    <mergeCell ref="S6:V7"/>
    <mergeCell ref="K8:L8"/>
    <mergeCell ref="M8:M12"/>
    <mergeCell ref="J6:L7"/>
    <mergeCell ref="K9:K12"/>
    <mergeCell ref="AT301:AT302"/>
    <mergeCell ref="B520:AT520"/>
    <mergeCell ref="AH6:AI7"/>
    <mergeCell ref="AH8:AH12"/>
    <mergeCell ref="AI8:AI12"/>
    <mergeCell ref="AL6:AO7"/>
    <mergeCell ref="AD9:AE9"/>
    <mergeCell ref="AQ9:AQ12"/>
    <mergeCell ref="AR9:AS9"/>
    <mergeCell ref="U10:U12"/>
    <mergeCell ref="V10:V12"/>
    <mergeCell ref="AD10:AD12"/>
    <mergeCell ref="AE10:AE12"/>
    <mergeCell ref="AR10:AR12"/>
    <mergeCell ref="AT496:AT498"/>
    <mergeCell ref="AT503:AT505"/>
    <mergeCell ref="AC8:AE8"/>
    <mergeCell ref="AF8:AF12"/>
    <mergeCell ref="AG8:AG12"/>
    <mergeCell ref="AP8:AP12"/>
    <mergeCell ref="AM8:AO8"/>
    <mergeCell ref="AM9:AM12"/>
    <mergeCell ref="AN9:AN12"/>
    <mergeCell ref="AO9:AO12"/>
    <mergeCell ref="AC9:AC12"/>
    <mergeCell ref="AJ6:AK7"/>
    <mergeCell ref="AZ12:AZ13"/>
    <mergeCell ref="AS10:AS12"/>
    <mergeCell ref="AQ8:AS8"/>
    <mergeCell ref="AL8:AL12"/>
    <mergeCell ref="AP6:AS7"/>
    <mergeCell ref="AT6:AT12"/>
    <mergeCell ref="A4:AT4"/>
    <mergeCell ref="L9:L12"/>
    <mergeCell ref="AB8:AB12"/>
    <mergeCell ref="P8:P12"/>
    <mergeCell ref="AJ8:AJ12"/>
    <mergeCell ref="AK8:AK12"/>
    <mergeCell ref="Y8:AA8"/>
    <mergeCell ref="Y9:Y12"/>
    <mergeCell ref="Z9:AA9"/>
    <mergeCell ref="Z10:Z12"/>
    <mergeCell ref="W6:W12"/>
    <mergeCell ref="AA10:AA12"/>
    <mergeCell ref="U9:V9"/>
    <mergeCell ref="R8:R12"/>
    <mergeCell ref="S8:S12"/>
    <mergeCell ref="T8:V8"/>
    <mergeCell ref="AF6:AG7"/>
    <mergeCell ref="T9:T12"/>
    <mergeCell ref="AS5:AT5"/>
    <mergeCell ref="A3:AT3"/>
    <mergeCell ref="A1:AT1"/>
    <mergeCell ref="A2:AT2"/>
    <mergeCell ref="AB6:AE7"/>
    <mergeCell ref="A6:A12"/>
    <mergeCell ref="B6:B12"/>
    <mergeCell ref="C6:C12"/>
    <mergeCell ref="H6:H12"/>
    <mergeCell ref="I6:I12"/>
    <mergeCell ref="D6:D12"/>
    <mergeCell ref="E6:E12"/>
    <mergeCell ref="F6:F12"/>
    <mergeCell ref="G6:G12"/>
  </mergeCells>
  <hyperlinks>
    <hyperlink ref="J126" r:id="rId1" display="http://113.160.145.177/qlvb/vbpq.nsf/str/15517E5966F76A8947258105004FADEF"/>
  </hyperlinks>
  <printOptions horizontalCentered="1"/>
  <pageMargins left="1.1811024E-2" right="0" top="0.35433070866141703" bottom="0.25" header="0.31496062992126" footer="6.4960630000000005E-2"/>
  <pageSetup paperSize="9" scale="39" orientation="landscape" r:id="rId2"/>
  <headerFooter>
    <oddFooter>&amp;R&amp;P/&amp;N</oddFooter>
  </headerFooter>
  <rowBreaks count="6" manualBreakCount="6">
    <brk id="141" max="52" man="1"/>
    <brk id="161" max="52" man="1"/>
    <brk id="181" max="52" man="1"/>
    <brk id="200" max="52" man="1"/>
    <brk id="492" max="52" man="1"/>
    <brk id="512" max="5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Q431"/>
  <sheetViews>
    <sheetView zoomScalePageLayoutView="50" workbookViewId="0">
      <selection activeCell="A2" sqref="A2:I2"/>
    </sheetView>
  </sheetViews>
  <sheetFormatPr defaultColWidth="9.125" defaultRowHeight="18.75"/>
  <cols>
    <col min="1" max="1" width="5.125" style="136" customWidth="1"/>
    <col min="2" max="2" width="51.625" style="40" customWidth="1"/>
    <col min="3" max="3" width="13.25" style="43" customWidth="1"/>
    <col min="4" max="4" width="13.75" style="43" customWidth="1"/>
    <col min="5" max="5" width="13.25" style="43" customWidth="1"/>
    <col min="6" max="6" width="13.25" style="3" customWidth="1"/>
    <col min="7" max="8" width="11.75" style="3" customWidth="1"/>
    <col min="9" max="10" width="14" style="3" customWidth="1"/>
    <col min="11" max="11" width="14.125" style="3" customWidth="1"/>
    <col min="12" max="12" width="18.625" style="13" customWidth="1"/>
    <col min="13" max="14" width="14.25" style="13" customWidth="1"/>
    <col min="15" max="15" width="13.875" style="13" customWidth="1"/>
    <col min="16" max="16" width="11.875" style="13" customWidth="1"/>
    <col min="17" max="18" width="13.75" style="13" customWidth="1"/>
    <col min="19" max="20" width="15.25" style="13" customWidth="1"/>
    <col min="21" max="16384" width="9.125" style="13"/>
  </cols>
  <sheetData>
    <row r="1" spans="1:17" ht="31.9" customHeight="1">
      <c r="A1" s="814" t="s">
        <v>207</v>
      </c>
      <c r="B1" s="814"/>
      <c r="C1" s="814"/>
      <c r="D1" s="814"/>
      <c r="E1" s="814"/>
      <c r="F1" s="814"/>
      <c r="G1" s="814"/>
      <c r="H1" s="814"/>
      <c r="I1" s="814"/>
      <c r="J1" s="189"/>
      <c r="K1" s="947" t="s">
        <v>0</v>
      </c>
      <c r="L1" s="947"/>
      <c r="M1" s="947"/>
      <c r="N1" s="947"/>
      <c r="O1" s="947"/>
      <c r="P1" s="947"/>
      <c r="Q1" s="138"/>
    </row>
    <row r="2" spans="1:17" ht="31.9" customHeight="1">
      <c r="A2" s="937" t="s">
        <v>1</v>
      </c>
      <c r="B2" s="937"/>
      <c r="C2" s="937"/>
      <c r="D2" s="937"/>
      <c r="E2" s="937"/>
      <c r="F2" s="937"/>
      <c r="G2" s="937"/>
      <c r="H2" s="937"/>
      <c r="I2" s="937"/>
      <c r="J2" s="190"/>
      <c r="K2" s="948" t="s">
        <v>2</v>
      </c>
      <c r="L2" s="948"/>
      <c r="M2" s="948"/>
      <c r="N2" s="948"/>
      <c r="O2" s="948"/>
      <c r="P2" s="948"/>
      <c r="Q2" s="141"/>
    </row>
    <row r="3" spans="1:17" s="14" customFormat="1" ht="42" customHeight="1">
      <c r="A3" s="896" t="s">
        <v>156</v>
      </c>
      <c r="B3" s="896"/>
      <c r="C3" s="896"/>
      <c r="D3" s="896"/>
      <c r="E3" s="896"/>
      <c r="F3" s="896"/>
      <c r="G3" s="896"/>
      <c r="H3" s="896"/>
      <c r="I3" s="896"/>
      <c r="J3" s="896"/>
      <c r="K3" s="896"/>
      <c r="L3" s="896"/>
      <c r="M3" s="896"/>
      <c r="N3" s="896"/>
      <c r="O3" s="896"/>
      <c r="P3" s="896"/>
    </row>
    <row r="4" spans="1:17" s="14" customFormat="1" ht="32.25" customHeight="1">
      <c r="A4" s="954" t="s">
        <v>195</v>
      </c>
      <c r="B4" s="954"/>
      <c r="C4" s="954"/>
      <c r="D4" s="954"/>
      <c r="E4" s="954"/>
      <c r="F4" s="954"/>
      <c r="G4" s="954"/>
      <c r="H4" s="954"/>
      <c r="I4" s="954"/>
      <c r="J4" s="954"/>
      <c r="K4" s="954"/>
      <c r="L4" s="954"/>
      <c r="M4" s="954"/>
      <c r="N4" s="954"/>
      <c r="O4" s="954"/>
      <c r="P4" s="954"/>
    </row>
    <row r="5" spans="1:17" ht="45.75" customHeight="1">
      <c r="A5" s="814" t="s">
        <v>208</v>
      </c>
      <c r="B5" s="814"/>
      <c r="C5" s="814"/>
      <c r="D5" s="814"/>
      <c r="E5" s="814"/>
      <c r="F5" s="814"/>
      <c r="G5" s="814"/>
      <c r="H5" s="814"/>
      <c r="I5" s="814"/>
      <c r="J5" s="814"/>
      <c r="K5" s="814"/>
      <c r="L5" s="814"/>
      <c r="M5" s="814"/>
      <c r="N5" s="814"/>
      <c r="O5" s="814"/>
      <c r="P5" s="814"/>
    </row>
    <row r="6" spans="1:17" ht="29.25" customHeight="1">
      <c r="A6" s="951"/>
      <c r="B6" s="951"/>
      <c r="C6" s="951"/>
      <c r="D6" s="951"/>
      <c r="E6" s="951"/>
      <c r="F6" s="951"/>
      <c r="G6" s="951"/>
      <c r="H6" s="951"/>
      <c r="I6" s="951"/>
      <c r="J6" s="951"/>
      <c r="K6" s="951"/>
      <c r="L6" s="951"/>
      <c r="M6" s="951"/>
      <c r="N6" s="951"/>
      <c r="O6" s="951"/>
      <c r="P6" s="951"/>
    </row>
    <row r="7" spans="1:17" s="15" customFormat="1" ht="35.65" customHeight="1">
      <c r="A7" s="952" t="s">
        <v>3</v>
      </c>
      <c r="B7" s="952"/>
      <c r="C7" s="952"/>
      <c r="D7" s="952"/>
      <c r="E7" s="952"/>
      <c r="F7" s="952"/>
      <c r="G7" s="952"/>
      <c r="H7" s="952"/>
      <c r="I7" s="952"/>
      <c r="J7" s="952"/>
      <c r="K7" s="952"/>
      <c r="L7" s="952"/>
      <c r="M7" s="952"/>
      <c r="N7" s="952"/>
      <c r="O7" s="952"/>
      <c r="P7" s="952"/>
    </row>
    <row r="8" spans="1:17" s="17" customFormat="1" ht="66" customHeight="1">
      <c r="A8" s="953" t="s">
        <v>22</v>
      </c>
      <c r="B8" s="854" t="s">
        <v>23</v>
      </c>
      <c r="C8" s="854" t="s">
        <v>24</v>
      </c>
      <c r="D8" s="854" t="s">
        <v>26</v>
      </c>
      <c r="E8" s="851" t="s">
        <v>27</v>
      </c>
      <c r="F8" s="852"/>
      <c r="G8" s="852"/>
      <c r="H8" s="853"/>
      <c r="I8" s="859" t="s">
        <v>209</v>
      </c>
      <c r="J8" s="859"/>
      <c r="K8" s="860"/>
      <c r="L8" s="848" t="s">
        <v>210</v>
      </c>
      <c r="M8" s="864" t="s">
        <v>211</v>
      </c>
      <c r="N8" s="865"/>
      <c r="O8" s="865"/>
      <c r="P8" s="854" t="s">
        <v>7</v>
      </c>
    </row>
    <row r="9" spans="1:17" s="17" customFormat="1" ht="36" customHeight="1">
      <c r="A9" s="953"/>
      <c r="B9" s="854"/>
      <c r="C9" s="854"/>
      <c r="D9" s="854"/>
      <c r="E9" s="856" t="s">
        <v>212</v>
      </c>
      <c r="F9" s="856" t="s">
        <v>30</v>
      </c>
      <c r="G9" s="856"/>
      <c r="H9" s="856"/>
      <c r="I9" s="854" t="s">
        <v>9</v>
      </c>
      <c r="J9" s="854" t="s">
        <v>14</v>
      </c>
      <c r="K9" s="854"/>
      <c r="L9" s="849"/>
      <c r="M9" s="854" t="s">
        <v>9</v>
      </c>
      <c r="N9" s="864" t="s">
        <v>14</v>
      </c>
      <c r="O9" s="865"/>
      <c r="P9" s="854"/>
    </row>
    <row r="10" spans="1:17" s="17" customFormat="1" ht="36" customHeight="1">
      <c r="A10" s="953"/>
      <c r="B10" s="854"/>
      <c r="C10" s="854"/>
      <c r="D10" s="854"/>
      <c r="E10" s="856"/>
      <c r="F10" s="856" t="s">
        <v>213</v>
      </c>
      <c r="G10" s="856" t="s">
        <v>14</v>
      </c>
      <c r="H10" s="856"/>
      <c r="I10" s="854"/>
      <c r="J10" s="854" t="s">
        <v>196</v>
      </c>
      <c r="K10" s="854" t="s">
        <v>197</v>
      </c>
      <c r="L10" s="849"/>
      <c r="M10" s="854"/>
      <c r="N10" s="854" t="s">
        <v>196</v>
      </c>
      <c r="O10" s="864" t="s">
        <v>197</v>
      </c>
      <c r="P10" s="854"/>
    </row>
    <row r="11" spans="1:17" s="17" customFormat="1" ht="40.5" customHeight="1">
      <c r="A11" s="953"/>
      <c r="B11" s="854"/>
      <c r="C11" s="854"/>
      <c r="D11" s="854"/>
      <c r="E11" s="856"/>
      <c r="F11" s="950"/>
      <c r="G11" s="191" t="s">
        <v>214</v>
      </c>
      <c r="H11" s="192" t="s">
        <v>215</v>
      </c>
      <c r="I11" s="854"/>
      <c r="J11" s="854"/>
      <c r="K11" s="854"/>
      <c r="L11" s="850"/>
      <c r="M11" s="854"/>
      <c r="N11" s="854"/>
      <c r="O11" s="864"/>
      <c r="P11" s="854"/>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 customHeight="1">
      <c r="A13" s="193"/>
      <c r="B13" s="20" t="s">
        <v>13</v>
      </c>
      <c r="C13" s="193"/>
      <c r="D13" s="18"/>
      <c r="E13" s="193"/>
      <c r="F13" s="18"/>
      <c r="G13" s="18"/>
      <c r="H13" s="193"/>
      <c r="I13" s="193"/>
      <c r="J13" s="193"/>
      <c r="K13" s="193"/>
      <c r="L13" s="193"/>
      <c r="M13" s="193"/>
      <c r="N13" s="193"/>
      <c r="O13" s="193"/>
      <c r="P13" s="193"/>
    </row>
    <row r="14" spans="1:17" ht="39" customHeight="1">
      <c r="A14" s="21" t="s">
        <v>32</v>
      </c>
      <c r="B14" s="22" t="s">
        <v>216</v>
      </c>
      <c r="C14" s="33"/>
      <c r="D14" s="33"/>
      <c r="E14" s="33"/>
      <c r="F14" s="34"/>
      <c r="G14" s="34"/>
      <c r="H14" s="34"/>
      <c r="I14" s="34"/>
      <c r="J14" s="34"/>
      <c r="K14" s="34"/>
      <c r="L14" s="47"/>
      <c r="M14" s="47"/>
      <c r="N14" s="47"/>
      <c r="O14" s="47"/>
      <c r="P14" s="47"/>
    </row>
    <row r="15" spans="1:17" ht="39" customHeight="1">
      <c r="A15" s="21" t="s">
        <v>37</v>
      </c>
      <c r="B15" s="22" t="s">
        <v>169</v>
      </c>
      <c r="C15" s="33"/>
      <c r="D15" s="33"/>
      <c r="E15" s="33"/>
      <c r="F15" s="34"/>
      <c r="G15" s="34"/>
      <c r="H15" s="34"/>
      <c r="I15" s="34"/>
      <c r="J15" s="34"/>
      <c r="K15" s="34"/>
      <c r="L15" s="47"/>
      <c r="M15" s="47"/>
      <c r="N15" s="47"/>
      <c r="O15" s="47"/>
      <c r="P15" s="47"/>
    </row>
    <row r="16" spans="1:17" ht="30" customHeight="1">
      <c r="A16" s="29" t="s">
        <v>33</v>
      </c>
      <c r="B16" s="30" t="s">
        <v>38</v>
      </c>
      <c r="C16" s="33"/>
      <c r="D16" s="33"/>
      <c r="E16" s="33"/>
      <c r="F16" s="34"/>
      <c r="G16" s="34"/>
      <c r="H16" s="34"/>
      <c r="I16" s="34"/>
      <c r="J16" s="34"/>
      <c r="K16" s="34"/>
      <c r="L16" s="47"/>
      <c r="M16" s="47"/>
      <c r="N16" s="47"/>
      <c r="O16" s="47"/>
      <c r="P16" s="47"/>
    </row>
    <row r="17" spans="1:16" ht="30" customHeight="1">
      <c r="A17" s="29" t="s">
        <v>40</v>
      </c>
      <c r="B17" s="31" t="s">
        <v>41</v>
      </c>
      <c r="C17" s="33"/>
      <c r="D17" s="33"/>
      <c r="E17" s="33"/>
      <c r="F17" s="34"/>
      <c r="G17" s="34"/>
      <c r="H17" s="34"/>
      <c r="I17" s="34"/>
      <c r="J17" s="34"/>
      <c r="K17" s="34"/>
      <c r="L17" s="47"/>
      <c r="M17" s="47"/>
      <c r="N17" s="47"/>
      <c r="O17" s="47"/>
      <c r="P17" s="47"/>
    </row>
    <row r="18" spans="1:16" ht="39" customHeight="1">
      <c r="A18" s="21" t="s">
        <v>39</v>
      </c>
      <c r="B18" s="22" t="s">
        <v>170</v>
      </c>
      <c r="C18" s="33"/>
      <c r="D18" s="33"/>
      <c r="E18" s="33"/>
      <c r="F18" s="34"/>
      <c r="G18" s="34"/>
      <c r="H18" s="34"/>
      <c r="I18" s="34"/>
      <c r="J18" s="34"/>
      <c r="K18" s="34"/>
      <c r="L18" s="47"/>
      <c r="M18" s="47"/>
      <c r="N18" s="47"/>
      <c r="O18" s="47"/>
      <c r="P18" s="47"/>
    </row>
    <row r="19" spans="1:16" s="25" customFormat="1" ht="61.5" customHeight="1">
      <c r="A19" s="21" t="s">
        <v>198</v>
      </c>
      <c r="B19" s="26" t="s">
        <v>199</v>
      </c>
      <c r="C19" s="23"/>
      <c r="D19" s="23"/>
      <c r="E19" s="23"/>
      <c r="F19" s="24"/>
      <c r="G19" s="24"/>
      <c r="H19" s="24"/>
      <c r="I19" s="24"/>
      <c r="J19" s="24"/>
      <c r="K19" s="24"/>
      <c r="L19" s="194"/>
      <c r="M19" s="194"/>
      <c r="N19" s="194"/>
      <c r="O19" s="194"/>
      <c r="P19" s="194"/>
    </row>
    <row r="20" spans="1:16" ht="30" customHeight="1">
      <c r="A20" s="29" t="s">
        <v>33</v>
      </c>
      <c r="B20" s="30" t="s">
        <v>38</v>
      </c>
      <c r="C20" s="33"/>
      <c r="D20" s="33"/>
      <c r="E20" s="33"/>
      <c r="F20" s="34"/>
      <c r="G20" s="34"/>
      <c r="H20" s="34"/>
      <c r="I20" s="34"/>
      <c r="J20" s="34"/>
      <c r="K20" s="34"/>
      <c r="L20" s="47"/>
      <c r="M20" s="47"/>
      <c r="N20" s="47"/>
      <c r="O20" s="47"/>
      <c r="P20" s="47"/>
    </row>
    <row r="21" spans="1:16" ht="30" customHeight="1">
      <c r="A21" s="29" t="s">
        <v>40</v>
      </c>
      <c r="B21" s="31" t="s">
        <v>41</v>
      </c>
      <c r="C21" s="33"/>
      <c r="D21" s="33"/>
      <c r="E21" s="33"/>
      <c r="F21" s="34"/>
      <c r="G21" s="34"/>
      <c r="H21" s="34"/>
      <c r="I21" s="34"/>
      <c r="J21" s="34"/>
      <c r="K21" s="34"/>
      <c r="L21" s="47"/>
      <c r="M21" s="47"/>
      <c r="N21" s="47"/>
      <c r="O21" s="47"/>
      <c r="P21" s="47"/>
    </row>
    <row r="22" spans="1:16" s="25" customFormat="1" ht="57" customHeight="1">
      <c r="A22" s="21" t="s">
        <v>200</v>
      </c>
      <c r="B22" s="26" t="s">
        <v>201</v>
      </c>
      <c r="C22" s="23"/>
      <c r="D22" s="23"/>
      <c r="E22" s="23"/>
      <c r="F22" s="24"/>
      <c r="G22" s="24"/>
      <c r="H22" s="24"/>
      <c r="I22" s="24"/>
      <c r="J22" s="24"/>
      <c r="K22" s="24"/>
      <c r="L22" s="194"/>
      <c r="M22" s="194"/>
      <c r="N22" s="194"/>
      <c r="O22" s="194"/>
      <c r="P22" s="194"/>
    </row>
    <row r="23" spans="1:16" ht="30" customHeight="1">
      <c r="A23" s="29" t="s">
        <v>33</v>
      </c>
      <c r="B23" s="30" t="s">
        <v>38</v>
      </c>
      <c r="C23" s="33"/>
      <c r="D23" s="33"/>
      <c r="E23" s="33"/>
      <c r="F23" s="34"/>
      <c r="G23" s="34"/>
      <c r="H23" s="34"/>
      <c r="I23" s="34"/>
      <c r="J23" s="34"/>
      <c r="K23" s="34"/>
      <c r="L23" s="47"/>
      <c r="M23" s="47"/>
      <c r="N23" s="47"/>
      <c r="O23" s="47"/>
      <c r="P23" s="47"/>
    </row>
    <row r="24" spans="1:16" ht="30" customHeight="1">
      <c r="A24" s="29" t="s">
        <v>40</v>
      </c>
      <c r="B24" s="31" t="s">
        <v>41</v>
      </c>
      <c r="C24" s="33"/>
      <c r="D24" s="33"/>
      <c r="E24" s="33"/>
      <c r="F24" s="34"/>
      <c r="G24" s="34"/>
      <c r="H24" s="34"/>
      <c r="I24" s="34"/>
      <c r="J24" s="34"/>
      <c r="K24" s="34"/>
      <c r="L24" s="47"/>
      <c r="M24" s="47"/>
      <c r="N24" s="47"/>
      <c r="O24" s="47"/>
      <c r="P24" s="47"/>
    </row>
    <row r="25" spans="1:16" ht="45.75" customHeight="1">
      <c r="A25" s="21" t="s">
        <v>202</v>
      </c>
      <c r="B25" s="26" t="s">
        <v>217</v>
      </c>
      <c r="C25" s="33"/>
      <c r="D25" s="33"/>
      <c r="E25" s="33"/>
      <c r="F25" s="34"/>
      <c r="G25" s="34"/>
      <c r="H25" s="34"/>
      <c r="I25" s="34"/>
      <c r="J25" s="34"/>
      <c r="K25" s="34"/>
      <c r="L25" s="47"/>
      <c r="M25" s="47"/>
      <c r="N25" s="47"/>
      <c r="O25" s="47"/>
      <c r="P25" s="47"/>
    </row>
    <row r="26" spans="1:16" ht="33.75" customHeight="1">
      <c r="A26" s="29" t="s">
        <v>33</v>
      </c>
      <c r="B26" s="30" t="s">
        <v>38</v>
      </c>
      <c r="C26" s="33"/>
      <c r="D26" s="33"/>
      <c r="E26" s="33"/>
      <c r="F26" s="34"/>
      <c r="G26" s="34"/>
      <c r="H26" s="34"/>
      <c r="I26" s="34"/>
      <c r="J26" s="34"/>
      <c r="K26" s="34"/>
      <c r="L26" s="47"/>
      <c r="M26" s="47"/>
      <c r="N26" s="47"/>
      <c r="O26" s="47"/>
      <c r="P26" s="47"/>
    </row>
    <row r="27" spans="1:16" ht="34.5" customHeight="1">
      <c r="A27" s="29"/>
      <c r="B27" s="31" t="s">
        <v>218</v>
      </c>
      <c r="C27" s="33"/>
      <c r="D27" s="33"/>
      <c r="E27" s="33"/>
      <c r="F27" s="34"/>
      <c r="G27" s="34"/>
      <c r="H27" s="34"/>
      <c r="I27" s="34"/>
      <c r="J27" s="34"/>
      <c r="K27" s="34"/>
      <c r="L27" s="47"/>
      <c r="M27" s="47"/>
      <c r="N27" s="47"/>
      <c r="O27" s="47"/>
      <c r="P27" s="47"/>
    </row>
    <row r="28" spans="1:16" s="25" customFormat="1" ht="53.25" customHeight="1">
      <c r="A28" s="21" t="s">
        <v>203</v>
      </c>
      <c r="B28" s="26" t="s">
        <v>204</v>
      </c>
      <c r="C28" s="23"/>
      <c r="D28" s="23"/>
      <c r="E28" s="23"/>
      <c r="F28" s="24"/>
      <c r="G28" s="24"/>
      <c r="H28" s="24"/>
      <c r="I28" s="24"/>
      <c r="J28" s="24"/>
      <c r="K28" s="24"/>
      <c r="L28" s="194"/>
      <c r="M28" s="194"/>
      <c r="N28" s="194"/>
      <c r="O28" s="194"/>
      <c r="P28" s="194"/>
    </row>
    <row r="29" spans="1:16" ht="37.5" customHeight="1">
      <c r="A29" s="29" t="s">
        <v>33</v>
      </c>
      <c r="B29" s="30" t="s">
        <v>38</v>
      </c>
      <c r="C29" s="33"/>
      <c r="D29" s="33"/>
      <c r="E29" s="33"/>
      <c r="F29" s="34"/>
      <c r="G29" s="34"/>
      <c r="H29" s="34"/>
      <c r="I29" s="34"/>
      <c r="J29" s="34"/>
      <c r="K29" s="34"/>
      <c r="L29" s="47"/>
      <c r="M29" s="47"/>
      <c r="N29" s="47"/>
      <c r="O29" s="47"/>
      <c r="P29" s="47"/>
    </row>
    <row r="30" spans="1:16" ht="39" customHeight="1">
      <c r="A30" s="29"/>
      <c r="B30" s="30" t="s">
        <v>219</v>
      </c>
      <c r="C30" s="33"/>
      <c r="D30" s="33"/>
      <c r="E30" s="33"/>
      <c r="F30" s="34"/>
      <c r="G30" s="34"/>
      <c r="H30" s="34"/>
      <c r="I30" s="34"/>
      <c r="J30" s="34"/>
      <c r="K30" s="34"/>
      <c r="L30" s="47"/>
      <c r="M30" s="47"/>
      <c r="N30" s="47"/>
      <c r="O30" s="47"/>
      <c r="P30" s="47"/>
    </row>
    <row r="31" spans="1:16" s="25" customFormat="1" ht="63" customHeight="1">
      <c r="A31" s="21" t="s">
        <v>205</v>
      </c>
      <c r="B31" s="26" t="s">
        <v>206</v>
      </c>
      <c r="C31" s="23"/>
      <c r="D31" s="23"/>
      <c r="E31" s="23"/>
      <c r="F31" s="24"/>
      <c r="G31" s="24"/>
      <c r="H31" s="24"/>
      <c r="I31" s="24"/>
      <c r="J31" s="24"/>
      <c r="K31" s="24"/>
      <c r="L31" s="194"/>
      <c r="M31" s="194"/>
      <c r="N31" s="194"/>
      <c r="O31" s="194"/>
      <c r="P31" s="194"/>
    </row>
    <row r="32" spans="1:16" ht="37.5" customHeight="1">
      <c r="A32" s="29" t="s">
        <v>33</v>
      </c>
      <c r="B32" s="30" t="s">
        <v>38</v>
      </c>
      <c r="C32" s="33"/>
      <c r="D32" s="33"/>
      <c r="E32" s="33"/>
      <c r="F32" s="34"/>
      <c r="G32" s="34"/>
      <c r="H32" s="34"/>
      <c r="I32" s="34"/>
      <c r="J32" s="34"/>
      <c r="K32" s="34"/>
      <c r="L32" s="47"/>
      <c r="M32" s="47"/>
      <c r="N32" s="47"/>
      <c r="O32" s="47"/>
      <c r="P32" s="47"/>
    </row>
    <row r="33" spans="1:16" ht="39" customHeight="1">
      <c r="A33" s="29"/>
      <c r="B33" s="30" t="s">
        <v>219</v>
      </c>
      <c r="C33" s="33"/>
      <c r="D33" s="33"/>
      <c r="E33" s="33"/>
      <c r="F33" s="34"/>
      <c r="G33" s="34"/>
      <c r="H33" s="34"/>
      <c r="I33" s="34"/>
      <c r="J33" s="34"/>
      <c r="K33" s="34"/>
      <c r="L33" s="47"/>
      <c r="M33" s="47"/>
      <c r="N33" s="47"/>
      <c r="O33" s="47"/>
      <c r="P33" s="47"/>
    </row>
    <row r="34" spans="1:16" ht="50.25" customHeight="1">
      <c r="A34" s="21" t="s">
        <v>48</v>
      </c>
      <c r="B34" s="22" t="s">
        <v>220</v>
      </c>
      <c r="C34" s="33"/>
      <c r="D34" s="33"/>
      <c r="E34" s="33"/>
      <c r="F34" s="34"/>
      <c r="G34" s="34"/>
      <c r="H34" s="34"/>
      <c r="I34" s="34"/>
      <c r="J34" s="34"/>
      <c r="K34" s="34"/>
      <c r="L34" s="47"/>
      <c r="M34" s="47"/>
      <c r="N34" s="47"/>
      <c r="O34" s="47"/>
      <c r="P34" s="47"/>
    </row>
    <row r="35" spans="1:16" ht="45.75" customHeight="1">
      <c r="A35" s="29"/>
      <c r="B35" s="26" t="s">
        <v>221</v>
      </c>
      <c r="C35" s="33"/>
      <c r="D35" s="33"/>
      <c r="E35" s="33"/>
      <c r="F35" s="34"/>
      <c r="G35" s="34"/>
      <c r="H35" s="34"/>
      <c r="I35" s="34"/>
      <c r="J35" s="34"/>
      <c r="K35" s="34"/>
      <c r="L35" s="47"/>
      <c r="M35" s="47"/>
      <c r="N35" s="47"/>
      <c r="O35" s="47"/>
      <c r="P35" s="47"/>
    </row>
    <row r="36" spans="1:16" ht="30" customHeight="1">
      <c r="A36" s="130"/>
      <c r="B36" s="172"/>
      <c r="C36" s="37"/>
      <c r="D36" s="37"/>
      <c r="E36" s="37"/>
      <c r="F36" s="38"/>
      <c r="G36" s="38"/>
      <c r="H36" s="38"/>
      <c r="I36" s="38"/>
      <c r="J36" s="38"/>
      <c r="K36" s="38"/>
    </row>
    <row r="37" spans="1:16" ht="30" customHeight="1">
      <c r="A37" s="130"/>
      <c r="B37" s="172" t="s">
        <v>19</v>
      </c>
      <c r="C37" s="37"/>
      <c r="D37" s="37"/>
      <c r="E37" s="37"/>
      <c r="F37" s="38"/>
      <c r="G37" s="38"/>
      <c r="H37" s="38"/>
      <c r="I37" s="38"/>
      <c r="J37" s="38"/>
      <c r="K37" s="38"/>
    </row>
    <row r="38" spans="1:16" ht="30" customHeight="1">
      <c r="A38" s="130"/>
      <c r="B38" s="173" t="s">
        <v>20</v>
      </c>
      <c r="C38" s="37"/>
      <c r="D38" s="37"/>
      <c r="E38" s="37"/>
      <c r="F38" s="38"/>
      <c r="G38" s="38"/>
      <c r="H38" s="38"/>
      <c r="I38" s="38"/>
      <c r="J38" s="38"/>
      <c r="K38" s="38"/>
    </row>
    <row r="39" spans="1:16" ht="30" customHeight="1">
      <c r="A39" s="130"/>
      <c r="B39" s="36"/>
      <c r="C39" s="37"/>
      <c r="D39" s="37"/>
      <c r="E39" s="37"/>
      <c r="F39" s="38"/>
      <c r="G39" s="38"/>
      <c r="H39" s="38"/>
      <c r="I39" s="38"/>
      <c r="J39" s="38"/>
      <c r="K39" s="38"/>
    </row>
    <row r="40" spans="1:16" ht="30" customHeight="1">
      <c r="A40" s="130"/>
      <c r="B40" s="36"/>
      <c r="C40" s="37"/>
      <c r="D40" s="37"/>
      <c r="E40" s="37"/>
      <c r="F40" s="38"/>
      <c r="G40" s="38"/>
      <c r="H40" s="38"/>
      <c r="I40" s="38"/>
      <c r="J40" s="38"/>
      <c r="K40" s="38"/>
    </row>
    <row r="41" spans="1:16" ht="30" customHeight="1">
      <c r="A41" s="130"/>
      <c r="B41" s="36"/>
      <c r="C41" s="37"/>
      <c r="D41" s="37"/>
      <c r="E41" s="37"/>
      <c r="F41" s="38"/>
      <c r="G41" s="38"/>
      <c r="H41" s="38"/>
      <c r="I41" s="38"/>
      <c r="J41" s="38"/>
      <c r="K41" s="38"/>
    </row>
    <row r="42" spans="1:16" ht="30" customHeight="1">
      <c r="A42" s="130"/>
      <c r="B42" s="36"/>
      <c r="C42" s="37"/>
      <c r="D42" s="37"/>
      <c r="E42" s="37"/>
      <c r="F42" s="38"/>
      <c r="G42" s="38"/>
      <c r="H42" s="38"/>
      <c r="I42" s="38"/>
      <c r="J42" s="38"/>
      <c r="K42" s="38"/>
    </row>
    <row r="43" spans="1:16" ht="30" customHeight="1">
      <c r="A43" s="130"/>
      <c r="B43" s="36"/>
      <c r="C43" s="37"/>
      <c r="D43" s="37"/>
      <c r="E43" s="37"/>
      <c r="F43" s="38"/>
      <c r="G43" s="38"/>
      <c r="H43" s="38"/>
      <c r="I43" s="38"/>
      <c r="J43" s="38"/>
      <c r="K43" s="38"/>
    </row>
    <row r="44" spans="1:16" ht="30" customHeight="1">
      <c r="A44" s="130"/>
      <c r="B44" s="36"/>
      <c r="C44" s="37"/>
      <c r="D44" s="37"/>
      <c r="E44" s="37"/>
      <c r="F44" s="38"/>
      <c r="G44" s="38"/>
      <c r="H44" s="38"/>
      <c r="I44" s="38"/>
      <c r="J44" s="38"/>
      <c r="K44" s="38"/>
    </row>
    <row r="45" spans="1:16" ht="30" customHeight="1">
      <c r="A45" s="130"/>
      <c r="B45" s="36"/>
      <c r="C45" s="37"/>
      <c r="D45" s="37"/>
      <c r="E45" s="37"/>
      <c r="F45" s="38"/>
      <c r="G45" s="38"/>
      <c r="H45" s="38"/>
      <c r="I45" s="38"/>
      <c r="J45" s="38"/>
      <c r="K45" s="38"/>
    </row>
    <row r="46" spans="1:16" ht="30" customHeight="1">
      <c r="B46" s="930"/>
      <c r="C46" s="930"/>
      <c r="D46" s="930"/>
      <c r="E46" s="930"/>
      <c r="F46" s="930"/>
      <c r="G46" s="930"/>
      <c r="H46" s="930"/>
      <c r="I46" s="137"/>
      <c r="J46" s="137"/>
      <c r="K46" s="137"/>
    </row>
    <row r="47" spans="1:16" ht="19.899999999999999" customHeight="1"/>
    <row r="48" spans="1:16" s="25" customFormat="1" ht="25.5" customHeight="1">
      <c r="A48" s="195"/>
      <c r="B48" s="60" t="s">
        <v>222</v>
      </c>
      <c r="C48" s="195"/>
      <c r="D48" s="195"/>
      <c r="E48" s="195"/>
      <c r="F48" s="59"/>
      <c r="G48" s="59"/>
      <c r="H48" s="59"/>
    </row>
    <row r="49" spans="1:8" s="133" customFormat="1" ht="25.5" customHeight="1">
      <c r="A49" s="130"/>
      <c r="B49" s="196" t="s">
        <v>223</v>
      </c>
      <c r="C49" s="130"/>
      <c r="D49" s="130"/>
      <c r="E49" s="130"/>
      <c r="F49" s="197"/>
      <c r="G49" s="197"/>
      <c r="H49" s="197"/>
    </row>
    <row r="50" spans="1:8" s="133" customFormat="1" ht="25.5" customHeight="1">
      <c r="A50" s="130"/>
      <c r="B50" s="135" t="s">
        <v>224</v>
      </c>
      <c r="C50" s="130"/>
      <c r="D50" s="130"/>
      <c r="E50" s="130"/>
      <c r="F50" s="197"/>
      <c r="G50" s="197"/>
      <c r="H50" s="197"/>
    </row>
    <row r="51" spans="1:8" s="133" customFormat="1" ht="25.5" customHeight="1">
      <c r="A51" s="130"/>
      <c r="B51" s="135" t="s">
        <v>225</v>
      </c>
      <c r="C51" s="130"/>
      <c r="D51" s="130"/>
      <c r="E51" s="130"/>
      <c r="F51" s="197"/>
      <c r="G51" s="197"/>
      <c r="H51" s="197"/>
    </row>
    <row r="52" spans="1:8" s="133" customFormat="1" ht="25.5" customHeight="1">
      <c r="A52" s="130"/>
      <c r="B52" s="135" t="s">
        <v>226</v>
      </c>
      <c r="C52" s="130"/>
      <c r="D52" s="130"/>
      <c r="E52" s="130"/>
      <c r="F52" s="197"/>
      <c r="G52" s="197"/>
      <c r="H52" s="197"/>
    </row>
    <row r="53" spans="1:8" s="133" customFormat="1" ht="25.5" customHeight="1">
      <c r="A53" s="130"/>
      <c r="B53" s="135" t="s">
        <v>227</v>
      </c>
      <c r="C53" s="130"/>
      <c r="D53" s="130"/>
      <c r="E53" s="130"/>
      <c r="F53" s="197"/>
      <c r="G53" s="197"/>
      <c r="H53" s="197"/>
    </row>
    <row r="54" spans="1:8" s="133" customFormat="1" ht="25.5" customHeight="1">
      <c r="A54" s="136"/>
      <c r="B54" s="133" t="s">
        <v>228</v>
      </c>
    </row>
    <row r="55" spans="1:8" s="133" customFormat="1" ht="25.5" customHeight="1">
      <c r="A55" s="136"/>
      <c r="B55" s="133" t="s">
        <v>229</v>
      </c>
      <c r="C55" s="136"/>
      <c r="D55" s="136"/>
      <c r="E55" s="136"/>
      <c r="F55" s="198"/>
      <c r="G55" s="198"/>
      <c r="H55" s="198"/>
    </row>
    <row r="56" spans="1:8" s="133" customFormat="1" ht="25.5" customHeight="1">
      <c r="A56" s="136"/>
      <c r="B56" s="133" t="s">
        <v>230</v>
      </c>
      <c r="C56" s="136"/>
      <c r="D56" s="136"/>
      <c r="E56" s="136"/>
      <c r="F56" s="198"/>
      <c r="G56" s="198"/>
      <c r="H56" s="198"/>
    </row>
    <row r="57" spans="1:8" s="133" customFormat="1" ht="25.5" customHeight="1">
      <c r="A57" s="136"/>
      <c r="B57" s="133" t="s">
        <v>231</v>
      </c>
      <c r="C57" s="136"/>
      <c r="D57" s="136"/>
      <c r="E57" s="136"/>
      <c r="F57" s="198"/>
      <c r="G57" s="198"/>
      <c r="H57" s="198"/>
    </row>
    <row r="58" spans="1:8" s="133" customFormat="1" ht="25.5" customHeight="1">
      <c r="A58" s="136"/>
      <c r="B58" s="133" t="s">
        <v>232</v>
      </c>
      <c r="C58" s="136"/>
      <c r="D58" s="136"/>
      <c r="E58" s="136"/>
      <c r="F58" s="198"/>
      <c r="G58" s="198"/>
      <c r="H58" s="198"/>
    </row>
    <row r="59" spans="1:8" s="133" customFormat="1" ht="25.5" customHeight="1">
      <c r="A59" s="136"/>
      <c r="B59" s="133" t="s">
        <v>233</v>
      </c>
      <c r="C59" s="136"/>
      <c r="D59" s="136"/>
      <c r="E59" s="136"/>
      <c r="F59" s="198"/>
      <c r="G59" s="198"/>
      <c r="H59" s="198"/>
    </row>
    <row r="60" spans="1:8" s="133" customFormat="1" ht="25.5" customHeight="1">
      <c r="A60" s="136"/>
      <c r="B60" s="133" t="s">
        <v>234</v>
      </c>
      <c r="C60" s="136"/>
      <c r="D60" s="136"/>
      <c r="E60" s="136"/>
      <c r="F60" s="198"/>
      <c r="G60" s="198"/>
      <c r="H60" s="198"/>
    </row>
    <row r="61" spans="1:8" s="133" customFormat="1" ht="25.5" customHeight="1">
      <c r="B61" s="133" t="s">
        <v>235</v>
      </c>
    </row>
    <row r="62" spans="1:8" s="133" customFormat="1" ht="25.5" customHeight="1">
      <c r="B62" s="133" t="s">
        <v>236</v>
      </c>
    </row>
    <row r="63" spans="1:8" s="133" customFormat="1" ht="25.5" customHeight="1">
      <c r="B63" s="133" t="s">
        <v>237</v>
      </c>
    </row>
    <row r="64" spans="1:8" s="133" customFormat="1" ht="25.5" customHeight="1">
      <c r="B64" s="133" t="s">
        <v>238</v>
      </c>
    </row>
    <row r="65" spans="1:8" s="133" customFormat="1" ht="25.5" customHeight="1">
      <c r="B65" s="133" t="s">
        <v>239</v>
      </c>
    </row>
    <row r="66" spans="1:8" s="133" customFormat="1" ht="25.5" customHeight="1">
      <c r="B66" s="133" t="s">
        <v>240</v>
      </c>
    </row>
    <row r="67" spans="1:8" s="133" customFormat="1" ht="25.5" customHeight="1">
      <c r="B67" s="133" t="s">
        <v>241</v>
      </c>
    </row>
    <row r="68" spans="1:8" s="133" customFormat="1" ht="25.5" customHeight="1">
      <c r="B68" s="133" t="s">
        <v>242</v>
      </c>
    </row>
    <row r="69" spans="1:8" s="133" customFormat="1" ht="25.5" customHeight="1">
      <c r="B69" s="133" t="s">
        <v>243</v>
      </c>
    </row>
    <row r="70" spans="1:8" s="133" customFormat="1" ht="25.5" customHeight="1">
      <c r="B70" s="133" t="s">
        <v>244</v>
      </c>
    </row>
    <row r="71" spans="1:8" s="133" customFormat="1" ht="25.5" customHeight="1">
      <c r="B71" s="133" t="s">
        <v>245</v>
      </c>
    </row>
    <row r="72" spans="1:8" s="133" customFormat="1" ht="25.5" customHeight="1">
      <c r="A72" s="136"/>
      <c r="B72" s="133" t="s">
        <v>246</v>
      </c>
      <c r="C72" s="136"/>
      <c r="D72" s="136"/>
      <c r="E72" s="136"/>
      <c r="F72" s="198"/>
      <c r="G72" s="198"/>
      <c r="H72" s="198"/>
    </row>
    <row r="73" spans="1:8" s="133" customFormat="1" ht="25.5" customHeight="1">
      <c r="B73" s="133" t="s">
        <v>247</v>
      </c>
    </row>
    <row r="74" spans="1:8" s="133" customFormat="1" ht="25.5" customHeight="1">
      <c r="B74" s="133" t="s">
        <v>248</v>
      </c>
    </row>
    <row r="75" spans="1:8" s="133" customFormat="1" ht="25.5" customHeight="1">
      <c r="B75" s="133" t="s">
        <v>249</v>
      </c>
    </row>
    <row r="76" spans="1:8" s="133" customFormat="1" ht="25.5" customHeight="1">
      <c r="B76" s="133" t="s">
        <v>250</v>
      </c>
    </row>
    <row r="77" spans="1:8" s="133" customFormat="1" ht="25.5" customHeight="1">
      <c r="B77" s="133" t="s">
        <v>251</v>
      </c>
    </row>
    <row r="78" spans="1:8" s="133" customFormat="1" ht="25.5" customHeight="1">
      <c r="B78" s="133" t="s">
        <v>252</v>
      </c>
    </row>
    <row r="79" spans="1:8" s="133" customFormat="1" ht="25.5" customHeight="1">
      <c r="B79" s="133" t="s">
        <v>253</v>
      </c>
    </row>
    <row r="80" spans="1:8" s="133" customFormat="1" ht="25.5" customHeight="1">
      <c r="B80" s="133" t="s">
        <v>254</v>
      </c>
    </row>
    <row r="81" spans="2:2" s="133" customFormat="1" ht="25.5" customHeight="1">
      <c r="B81" s="133" t="s">
        <v>255</v>
      </c>
    </row>
    <row r="82" spans="2:2" s="133" customFormat="1" ht="25.5" customHeight="1">
      <c r="B82" s="133" t="s">
        <v>256</v>
      </c>
    </row>
    <row r="83" spans="2:2" s="133" customFormat="1" ht="25.5" customHeight="1">
      <c r="B83" s="133" t="s">
        <v>257</v>
      </c>
    </row>
    <row r="84" spans="2:2" s="133" customFormat="1" ht="25.5" customHeight="1"/>
    <row r="85" spans="2:2" s="133" customFormat="1" ht="25.5" customHeight="1"/>
    <row r="86" spans="2:2" s="133" customFormat="1" ht="25.5" customHeight="1">
      <c r="B86" s="133" t="s">
        <v>258</v>
      </c>
    </row>
    <row r="87" spans="2:2" s="133" customFormat="1" ht="25.5" customHeight="1">
      <c r="B87" s="133" t="s">
        <v>259</v>
      </c>
    </row>
    <row r="88" spans="2:2" s="133" customFormat="1" ht="25.5" customHeight="1">
      <c r="B88" s="133" t="s">
        <v>260</v>
      </c>
    </row>
    <row r="89" spans="2:2" s="133" customFormat="1" ht="25.5" customHeight="1">
      <c r="B89" s="133" t="s">
        <v>261</v>
      </c>
    </row>
    <row r="90" spans="2:2" s="133" customFormat="1" ht="25.5" customHeight="1">
      <c r="B90" s="133" t="s">
        <v>262</v>
      </c>
    </row>
    <row r="91" spans="2:2" s="133" customFormat="1" ht="25.5" customHeight="1">
      <c r="B91" s="133" t="s">
        <v>263</v>
      </c>
    </row>
    <row r="92" spans="2:2" s="133" customFormat="1" ht="25.5" customHeight="1">
      <c r="B92" s="133" t="s">
        <v>264</v>
      </c>
    </row>
    <row r="93" spans="2:2" s="133" customFormat="1" ht="25.5" customHeight="1">
      <c r="B93" s="133" t="s">
        <v>265</v>
      </c>
    </row>
    <row r="94" spans="2:2" s="133" customFormat="1" ht="25.5" customHeight="1">
      <c r="B94" s="133" t="s">
        <v>266</v>
      </c>
    </row>
    <row r="95" spans="2:2" s="133" customFormat="1" ht="25.5" customHeight="1">
      <c r="B95" s="133" t="s">
        <v>267</v>
      </c>
    </row>
    <row r="96" spans="2:2" s="133" customFormat="1" ht="25.5" customHeight="1">
      <c r="B96" s="133" t="s">
        <v>268</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A4:P4"/>
    <mergeCell ref="A1:I1"/>
    <mergeCell ref="K1:P1"/>
    <mergeCell ref="A2:I2"/>
    <mergeCell ref="K2:P2"/>
    <mergeCell ref="A3:P3"/>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B46:H46"/>
    <mergeCell ref="M9:M11"/>
    <mergeCell ref="N9:O9"/>
    <mergeCell ref="F10:F11"/>
    <mergeCell ref="G10:H10"/>
    <mergeCell ref="J10:J11"/>
    <mergeCell ref="K10:K11"/>
    <mergeCell ref="N10:N11"/>
    <mergeCell ref="O10:O11"/>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P430"/>
  <sheetViews>
    <sheetView zoomScalePageLayoutView="50" workbookViewId="0">
      <selection activeCell="A2" sqref="A2:H2"/>
    </sheetView>
  </sheetViews>
  <sheetFormatPr defaultColWidth="9.125" defaultRowHeight="18.75"/>
  <cols>
    <col min="1" max="1" width="5.125" style="136" customWidth="1"/>
    <col min="2" max="2" width="32.25" style="40" customWidth="1"/>
    <col min="3" max="3" width="13.25" style="43" customWidth="1"/>
    <col min="4" max="4" width="13.75" style="43" customWidth="1"/>
    <col min="5" max="5" width="16.125" style="43" customWidth="1"/>
    <col min="6" max="6" width="15.75" style="3" customWidth="1"/>
    <col min="7" max="7" width="11.75" style="3" customWidth="1"/>
    <col min="8" max="8" width="14.75" style="3" customWidth="1"/>
    <col min="9" max="10" width="15.25" style="3" customWidth="1"/>
    <col min="11" max="11" width="18.25" style="13" customWidth="1"/>
    <col min="12" max="12" width="14.75" style="13" customWidth="1"/>
    <col min="13" max="15" width="15.25" style="13" customWidth="1"/>
    <col min="16" max="17" width="13.75" style="13" customWidth="1"/>
    <col min="18" max="19" width="15.25" style="13" customWidth="1"/>
    <col min="20" max="16384" width="9.125" style="13"/>
  </cols>
  <sheetData>
    <row r="1" spans="1:16" ht="28.9" customHeight="1">
      <c r="A1" s="814" t="s">
        <v>269</v>
      </c>
      <c r="B1" s="814"/>
      <c r="C1" s="814"/>
      <c r="D1" s="814"/>
      <c r="E1" s="814"/>
      <c r="F1" s="814"/>
      <c r="G1" s="814"/>
      <c r="H1" s="814"/>
      <c r="I1" s="189"/>
      <c r="J1" s="947" t="s">
        <v>0</v>
      </c>
      <c r="K1" s="947"/>
      <c r="L1" s="947"/>
      <c r="M1" s="947"/>
      <c r="N1" s="947"/>
      <c r="O1" s="947"/>
      <c r="P1" s="138"/>
    </row>
    <row r="2" spans="1:16" ht="30" customHeight="1">
      <c r="A2" s="937" t="s">
        <v>1</v>
      </c>
      <c r="B2" s="937"/>
      <c r="C2" s="937"/>
      <c r="D2" s="937"/>
      <c r="E2" s="937"/>
      <c r="F2" s="937"/>
      <c r="G2" s="937"/>
      <c r="H2" s="937"/>
      <c r="I2" s="190"/>
      <c r="J2" s="948" t="s">
        <v>2</v>
      </c>
      <c r="K2" s="948"/>
      <c r="L2" s="948"/>
      <c r="M2" s="948"/>
      <c r="N2" s="948"/>
      <c r="O2" s="948"/>
      <c r="P2" s="141"/>
    </row>
    <row r="3" spans="1:16" s="14" customFormat="1" ht="42" customHeight="1">
      <c r="A3" s="896" t="s">
        <v>156</v>
      </c>
      <c r="B3" s="896"/>
      <c r="C3" s="896"/>
      <c r="D3" s="896"/>
      <c r="E3" s="896"/>
      <c r="F3" s="896"/>
      <c r="G3" s="896"/>
      <c r="H3" s="896"/>
      <c r="I3" s="896"/>
      <c r="J3" s="896"/>
      <c r="K3" s="896"/>
      <c r="L3" s="896"/>
      <c r="M3" s="896"/>
      <c r="N3" s="896"/>
      <c r="O3" s="896"/>
    </row>
    <row r="4" spans="1:16" s="14" customFormat="1" ht="32.25" customHeight="1">
      <c r="A4" s="954" t="s">
        <v>195</v>
      </c>
      <c r="B4" s="954"/>
      <c r="C4" s="954"/>
      <c r="D4" s="954"/>
      <c r="E4" s="954"/>
      <c r="F4" s="954"/>
      <c r="G4" s="954"/>
      <c r="H4" s="954"/>
      <c r="I4" s="954"/>
      <c r="J4" s="954"/>
      <c r="K4" s="954"/>
      <c r="L4" s="954"/>
      <c r="M4" s="954"/>
      <c r="N4" s="954"/>
      <c r="O4" s="954"/>
    </row>
    <row r="5" spans="1:16" ht="45.75" customHeight="1">
      <c r="A5" s="814" t="s">
        <v>270</v>
      </c>
      <c r="B5" s="814"/>
      <c r="C5" s="814"/>
      <c r="D5" s="814"/>
      <c r="E5" s="814"/>
      <c r="F5" s="814"/>
      <c r="G5" s="814"/>
      <c r="H5" s="814"/>
      <c r="I5" s="814"/>
      <c r="J5" s="814"/>
      <c r="K5" s="814"/>
      <c r="L5" s="814"/>
      <c r="M5" s="814"/>
      <c r="N5" s="814"/>
      <c r="O5" s="814"/>
    </row>
    <row r="6" spans="1:16" s="15" customFormat="1" ht="35.65" customHeight="1">
      <c r="A6" s="952" t="s">
        <v>3</v>
      </c>
      <c r="B6" s="952"/>
      <c r="C6" s="952"/>
      <c r="D6" s="952"/>
      <c r="E6" s="952"/>
      <c r="F6" s="952"/>
      <c r="G6" s="952"/>
      <c r="H6" s="952"/>
      <c r="I6" s="952"/>
      <c r="J6" s="952"/>
      <c r="K6" s="952"/>
      <c r="L6" s="952"/>
      <c r="M6" s="952"/>
      <c r="N6" s="952"/>
      <c r="O6" s="952"/>
    </row>
    <row r="7" spans="1:16" s="17" customFormat="1" ht="58.5" customHeight="1">
      <c r="A7" s="953" t="s">
        <v>22</v>
      </c>
      <c r="B7" s="854" t="s">
        <v>23</v>
      </c>
      <c r="C7" s="854" t="s">
        <v>24</v>
      </c>
      <c r="D7" s="854" t="s">
        <v>26</v>
      </c>
      <c r="E7" s="851" t="s">
        <v>27</v>
      </c>
      <c r="F7" s="852"/>
      <c r="G7" s="853"/>
      <c r="H7" s="865" t="s">
        <v>271</v>
      </c>
      <c r="I7" s="865"/>
      <c r="J7" s="866"/>
      <c r="K7" s="848" t="s">
        <v>272</v>
      </c>
      <c r="L7" s="864" t="s">
        <v>273</v>
      </c>
      <c r="M7" s="865"/>
      <c r="N7" s="866"/>
      <c r="O7" s="854" t="s">
        <v>7</v>
      </c>
    </row>
    <row r="8" spans="1:16" s="17" customFormat="1" ht="36" customHeight="1">
      <c r="A8" s="953"/>
      <c r="B8" s="854"/>
      <c r="C8" s="854"/>
      <c r="D8" s="854"/>
      <c r="E8" s="856" t="s">
        <v>212</v>
      </c>
      <c r="F8" s="856" t="s">
        <v>30</v>
      </c>
      <c r="G8" s="856"/>
      <c r="H8" s="854" t="s">
        <v>9</v>
      </c>
      <c r="I8" s="854" t="s">
        <v>14</v>
      </c>
      <c r="J8" s="854"/>
      <c r="K8" s="849"/>
      <c r="L8" s="854" t="s">
        <v>9</v>
      </c>
      <c r="M8" s="864" t="s">
        <v>14</v>
      </c>
      <c r="N8" s="865"/>
      <c r="O8" s="854"/>
    </row>
    <row r="9" spans="1:16" s="17" customFormat="1" ht="36" customHeight="1">
      <c r="A9" s="953"/>
      <c r="B9" s="854"/>
      <c r="C9" s="854"/>
      <c r="D9" s="854"/>
      <c r="E9" s="856"/>
      <c r="F9" s="856" t="s">
        <v>213</v>
      </c>
      <c r="G9" s="867" t="s">
        <v>274</v>
      </c>
      <c r="H9" s="854"/>
      <c r="I9" s="854" t="s">
        <v>196</v>
      </c>
      <c r="J9" s="854" t="s">
        <v>197</v>
      </c>
      <c r="K9" s="849"/>
      <c r="L9" s="854"/>
      <c r="M9" s="854" t="s">
        <v>196</v>
      </c>
      <c r="N9" s="864" t="s">
        <v>197</v>
      </c>
      <c r="O9" s="854"/>
    </row>
    <row r="10" spans="1:16" s="17" customFormat="1" ht="44.25" customHeight="1">
      <c r="A10" s="953"/>
      <c r="B10" s="854"/>
      <c r="C10" s="854"/>
      <c r="D10" s="854"/>
      <c r="E10" s="856"/>
      <c r="F10" s="950"/>
      <c r="G10" s="869"/>
      <c r="H10" s="854"/>
      <c r="I10" s="854"/>
      <c r="J10" s="854"/>
      <c r="K10" s="850"/>
      <c r="L10" s="854"/>
      <c r="M10" s="854"/>
      <c r="N10" s="864"/>
      <c r="O10" s="854"/>
    </row>
    <row r="11" spans="1:16" s="19" customFormat="1" ht="26.2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13</v>
      </c>
      <c r="C12" s="193"/>
      <c r="D12" s="18"/>
      <c r="E12" s="193"/>
      <c r="F12" s="18"/>
      <c r="G12" s="193"/>
      <c r="H12" s="193"/>
      <c r="I12" s="193"/>
      <c r="J12" s="193"/>
      <c r="K12" s="193"/>
      <c r="L12" s="193"/>
      <c r="M12" s="193"/>
      <c r="N12" s="193"/>
      <c r="O12" s="193"/>
    </row>
    <row r="13" spans="1:16" s="19" customFormat="1" ht="36" customHeight="1">
      <c r="A13" s="21" t="s">
        <v>32</v>
      </c>
      <c r="B13" s="22" t="s">
        <v>216</v>
      </c>
      <c r="C13" s="18"/>
      <c r="D13" s="18"/>
      <c r="E13" s="18"/>
      <c r="F13" s="18"/>
      <c r="G13" s="18"/>
      <c r="H13" s="18"/>
      <c r="I13" s="18"/>
      <c r="J13" s="18"/>
      <c r="K13" s="192"/>
      <c r="L13" s="192"/>
      <c r="M13" s="192"/>
      <c r="N13" s="192"/>
      <c r="O13" s="192"/>
    </row>
    <row r="14" spans="1:16" s="19" customFormat="1" ht="29.25" customHeight="1">
      <c r="A14" s="21" t="s">
        <v>37</v>
      </c>
      <c r="B14" s="22" t="s">
        <v>169</v>
      </c>
      <c r="C14" s="18"/>
      <c r="D14" s="18"/>
      <c r="E14" s="18"/>
      <c r="F14" s="18"/>
      <c r="G14" s="18"/>
      <c r="H14" s="18"/>
      <c r="I14" s="18"/>
      <c r="J14" s="18"/>
      <c r="K14" s="192"/>
      <c r="L14" s="192"/>
      <c r="M14" s="192"/>
      <c r="N14" s="192"/>
      <c r="O14" s="192"/>
    </row>
    <row r="15" spans="1:16" s="19" customFormat="1" ht="29.25" customHeight="1">
      <c r="A15" s="29" t="s">
        <v>33</v>
      </c>
      <c r="B15" s="30" t="s">
        <v>38</v>
      </c>
      <c r="C15" s="18"/>
      <c r="D15" s="18"/>
      <c r="E15" s="18"/>
      <c r="F15" s="18"/>
      <c r="G15" s="18"/>
      <c r="H15" s="18"/>
      <c r="I15" s="18"/>
      <c r="J15" s="18"/>
      <c r="K15" s="192"/>
      <c r="L15" s="192"/>
      <c r="M15" s="192"/>
      <c r="N15" s="192"/>
      <c r="O15" s="192"/>
    </row>
    <row r="16" spans="1:16" s="19" customFormat="1" ht="29.25" customHeight="1">
      <c r="A16" s="29" t="s">
        <v>40</v>
      </c>
      <c r="B16" s="31" t="s">
        <v>41</v>
      </c>
      <c r="C16" s="18"/>
      <c r="D16" s="18"/>
      <c r="E16" s="18"/>
      <c r="F16" s="18"/>
      <c r="G16" s="18"/>
      <c r="H16" s="18"/>
      <c r="I16" s="18"/>
      <c r="J16" s="18"/>
      <c r="K16" s="192"/>
      <c r="L16" s="192"/>
      <c r="M16" s="192"/>
      <c r="N16" s="192"/>
      <c r="O16" s="192"/>
    </row>
    <row r="17" spans="1:15" s="19" customFormat="1" ht="29.25" customHeight="1">
      <c r="A17" s="21" t="s">
        <v>39</v>
      </c>
      <c r="B17" s="22" t="s">
        <v>170</v>
      </c>
      <c r="C17" s="18"/>
      <c r="D17" s="18"/>
      <c r="E17" s="18"/>
      <c r="F17" s="18"/>
      <c r="G17" s="18"/>
      <c r="H17" s="18"/>
      <c r="I17" s="18"/>
      <c r="J17" s="18"/>
      <c r="K17" s="192"/>
      <c r="L17" s="192"/>
      <c r="M17" s="192"/>
      <c r="N17" s="192"/>
      <c r="O17" s="192"/>
    </row>
    <row r="18" spans="1:15" s="19" customFormat="1" ht="61.5" customHeight="1">
      <c r="A18" s="21" t="s">
        <v>198</v>
      </c>
      <c r="B18" s="26" t="s">
        <v>199</v>
      </c>
      <c r="C18" s="18"/>
      <c r="D18" s="18"/>
      <c r="E18" s="18"/>
      <c r="F18" s="18"/>
      <c r="G18" s="18"/>
      <c r="H18" s="18"/>
      <c r="I18" s="18"/>
      <c r="J18" s="18"/>
      <c r="K18" s="192"/>
      <c r="L18" s="192"/>
      <c r="M18" s="192"/>
      <c r="N18" s="192"/>
      <c r="O18" s="192"/>
    </row>
    <row r="19" spans="1:15" s="19" customFormat="1" ht="32.25" customHeight="1">
      <c r="A19" s="29" t="s">
        <v>33</v>
      </c>
      <c r="B19" s="30" t="s">
        <v>38</v>
      </c>
      <c r="C19" s="18"/>
      <c r="D19" s="18"/>
      <c r="E19" s="18"/>
      <c r="F19" s="18"/>
      <c r="G19" s="18"/>
      <c r="H19" s="18"/>
      <c r="I19" s="18"/>
      <c r="J19" s="18"/>
      <c r="K19" s="192"/>
      <c r="L19" s="192"/>
      <c r="M19" s="192"/>
      <c r="N19" s="192"/>
      <c r="O19" s="192"/>
    </row>
    <row r="20" spans="1:15" s="19" customFormat="1" ht="32.25" customHeight="1">
      <c r="A20" s="29" t="s">
        <v>40</v>
      </c>
      <c r="B20" s="31" t="s">
        <v>41</v>
      </c>
      <c r="C20" s="18"/>
      <c r="D20" s="18"/>
      <c r="E20" s="18"/>
      <c r="F20" s="18"/>
      <c r="G20" s="18"/>
      <c r="H20" s="18"/>
      <c r="I20" s="18"/>
      <c r="J20" s="18"/>
      <c r="K20" s="192"/>
      <c r="L20" s="192"/>
      <c r="M20" s="192"/>
      <c r="N20" s="192"/>
      <c r="O20" s="192"/>
    </row>
    <row r="21" spans="1:15" ht="37.5">
      <c r="A21" s="21" t="s">
        <v>200</v>
      </c>
      <c r="B21" s="26" t="s">
        <v>201</v>
      </c>
      <c r="C21" s="33"/>
      <c r="D21" s="33"/>
      <c r="E21" s="33"/>
      <c r="F21" s="34"/>
      <c r="G21" s="34"/>
      <c r="H21" s="34"/>
      <c r="I21" s="34"/>
      <c r="J21" s="34"/>
      <c r="K21" s="47"/>
      <c r="L21" s="47"/>
      <c r="M21" s="47"/>
      <c r="N21" s="47"/>
      <c r="O21" s="47"/>
    </row>
    <row r="22" spans="1:15" s="25" customFormat="1" ht="36.75" customHeight="1">
      <c r="A22" s="29" t="s">
        <v>33</v>
      </c>
      <c r="B22" s="30" t="s">
        <v>38</v>
      </c>
      <c r="C22" s="23"/>
      <c r="D22" s="23"/>
      <c r="E22" s="23"/>
      <c r="F22" s="24"/>
      <c r="G22" s="24"/>
      <c r="H22" s="24"/>
      <c r="I22" s="24"/>
      <c r="J22" s="24"/>
      <c r="K22" s="194"/>
      <c r="L22" s="194"/>
      <c r="M22" s="194"/>
      <c r="N22" s="194"/>
      <c r="O22" s="194"/>
    </row>
    <row r="23" spans="1:15" ht="36.75" customHeight="1">
      <c r="A23" s="29" t="s">
        <v>40</v>
      </c>
      <c r="B23" s="31" t="s">
        <v>41</v>
      </c>
      <c r="C23" s="33"/>
      <c r="D23" s="33"/>
      <c r="E23" s="33"/>
      <c r="F23" s="34"/>
      <c r="G23" s="34"/>
      <c r="H23" s="34"/>
      <c r="I23" s="34"/>
      <c r="J23" s="34"/>
      <c r="K23" s="47"/>
      <c r="L23" s="47"/>
      <c r="M23" s="47"/>
      <c r="N23" s="47"/>
      <c r="O23" s="47"/>
    </row>
    <row r="24" spans="1:15" ht="37.5">
      <c r="A24" s="21" t="s">
        <v>202</v>
      </c>
      <c r="B24" s="26" t="s">
        <v>217</v>
      </c>
      <c r="C24" s="33"/>
      <c r="D24" s="33"/>
      <c r="E24" s="33"/>
      <c r="F24" s="34"/>
      <c r="G24" s="34"/>
      <c r="H24" s="34"/>
      <c r="I24" s="34"/>
      <c r="J24" s="34"/>
      <c r="K24" s="47"/>
      <c r="L24" s="47"/>
      <c r="M24" s="47"/>
      <c r="N24" s="47"/>
      <c r="O24" s="47"/>
    </row>
    <row r="25" spans="1:15" s="25" customFormat="1" ht="32.25" customHeight="1">
      <c r="A25" s="29" t="s">
        <v>33</v>
      </c>
      <c r="B25" s="30" t="s">
        <v>38</v>
      </c>
      <c r="C25" s="23"/>
      <c r="D25" s="23"/>
      <c r="E25" s="23"/>
      <c r="F25" s="24"/>
      <c r="G25" s="24"/>
      <c r="H25" s="24"/>
      <c r="I25" s="24"/>
      <c r="J25" s="24"/>
      <c r="K25" s="194"/>
      <c r="L25" s="194"/>
      <c r="M25" s="194"/>
      <c r="N25" s="194"/>
      <c r="O25" s="194"/>
    </row>
    <row r="26" spans="1:15" ht="32.25" customHeight="1">
      <c r="A26" s="29"/>
      <c r="B26" s="31" t="s">
        <v>218</v>
      </c>
      <c r="C26" s="33"/>
      <c r="D26" s="33"/>
      <c r="E26" s="33"/>
      <c r="F26" s="34"/>
      <c r="G26" s="34"/>
      <c r="H26" s="34"/>
      <c r="I26" s="34"/>
      <c r="J26" s="34"/>
      <c r="K26" s="47"/>
      <c r="L26" s="47"/>
      <c r="M26" s="47"/>
      <c r="N26" s="47"/>
      <c r="O26" s="47"/>
    </row>
    <row r="27" spans="1:15" ht="47.25" customHeight="1">
      <c r="A27" s="21" t="s">
        <v>203</v>
      </c>
      <c r="B27" s="26" t="s">
        <v>204</v>
      </c>
      <c r="C27" s="33"/>
      <c r="D27" s="33"/>
      <c r="E27" s="33"/>
      <c r="F27" s="34"/>
      <c r="G27" s="34"/>
      <c r="H27" s="34"/>
      <c r="I27" s="34"/>
      <c r="J27" s="34"/>
      <c r="K27" s="47"/>
      <c r="L27" s="47"/>
      <c r="M27" s="47"/>
      <c r="N27" s="47"/>
      <c r="O27" s="47"/>
    </row>
    <row r="28" spans="1:15" ht="39" customHeight="1">
      <c r="A28" s="29" t="s">
        <v>33</v>
      </c>
      <c r="B28" s="30" t="s">
        <v>38</v>
      </c>
      <c r="C28" s="33"/>
      <c r="D28" s="33"/>
      <c r="E28" s="33"/>
      <c r="F28" s="34"/>
      <c r="G28" s="34"/>
      <c r="H28" s="34"/>
      <c r="I28" s="34"/>
      <c r="J28" s="34"/>
      <c r="K28" s="47"/>
      <c r="L28" s="47"/>
      <c r="M28" s="47"/>
      <c r="N28" s="47"/>
      <c r="O28" s="47"/>
    </row>
    <row r="29" spans="1:15" ht="33.75" customHeight="1">
      <c r="A29" s="29"/>
      <c r="B29" s="30" t="s">
        <v>219</v>
      </c>
      <c r="C29" s="33"/>
      <c r="D29" s="33"/>
      <c r="E29" s="33"/>
      <c r="F29" s="34"/>
      <c r="G29" s="34"/>
      <c r="H29" s="34"/>
      <c r="I29" s="34"/>
      <c r="J29" s="34"/>
      <c r="K29" s="47"/>
      <c r="L29" s="47"/>
      <c r="M29" s="47"/>
      <c r="N29" s="47"/>
      <c r="O29" s="47"/>
    </row>
    <row r="30" spans="1:15" ht="56.25">
      <c r="A30" s="21" t="s">
        <v>205</v>
      </c>
      <c r="B30" s="26" t="s">
        <v>206</v>
      </c>
      <c r="C30" s="33"/>
      <c r="D30" s="33"/>
      <c r="E30" s="33"/>
      <c r="F30" s="34"/>
      <c r="G30" s="34"/>
      <c r="H30" s="34"/>
      <c r="I30" s="34"/>
      <c r="J30" s="34"/>
      <c r="K30" s="47"/>
      <c r="L30" s="47"/>
      <c r="M30" s="47"/>
      <c r="N30" s="47"/>
      <c r="O30" s="47"/>
    </row>
    <row r="31" spans="1:15" s="25" customFormat="1" ht="53.25" customHeight="1">
      <c r="A31" s="29" t="s">
        <v>33</v>
      </c>
      <c r="B31" s="30" t="s">
        <v>38</v>
      </c>
      <c r="C31" s="23"/>
      <c r="D31" s="23"/>
      <c r="E31" s="23"/>
      <c r="F31" s="24"/>
      <c r="G31" s="24"/>
      <c r="H31" s="24"/>
      <c r="I31" s="24"/>
      <c r="J31" s="24"/>
      <c r="K31" s="194"/>
      <c r="L31" s="194"/>
      <c r="M31" s="194"/>
      <c r="N31" s="194"/>
      <c r="O31" s="194"/>
    </row>
    <row r="32" spans="1:15" ht="37.5" customHeight="1">
      <c r="A32" s="29"/>
      <c r="B32" s="30" t="s">
        <v>219</v>
      </c>
      <c r="C32" s="33"/>
      <c r="D32" s="33"/>
      <c r="E32" s="33"/>
      <c r="F32" s="34"/>
      <c r="G32" s="34"/>
      <c r="H32" s="34"/>
      <c r="I32" s="34"/>
      <c r="J32" s="34"/>
      <c r="K32" s="47"/>
      <c r="L32" s="47"/>
      <c r="M32" s="47"/>
      <c r="N32" s="47"/>
      <c r="O32" s="47"/>
    </row>
    <row r="33" spans="1:15" ht="39" customHeight="1">
      <c r="A33" s="21" t="s">
        <v>48</v>
      </c>
      <c r="B33" s="22" t="s">
        <v>220</v>
      </c>
      <c r="C33" s="33"/>
      <c r="D33" s="33"/>
      <c r="E33" s="33"/>
      <c r="F33" s="34"/>
      <c r="G33" s="34"/>
      <c r="H33" s="34"/>
      <c r="I33" s="34"/>
      <c r="J33" s="34"/>
      <c r="K33" s="47"/>
      <c r="L33" s="47"/>
      <c r="M33" s="47"/>
      <c r="N33" s="47"/>
      <c r="O33" s="47"/>
    </row>
    <row r="34" spans="1:15" s="25" customFormat="1" ht="38.25" customHeight="1">
      <c r="A34" s="29"/>
      <c r="B34" s="26" t="s">
        <v>221</v>
      </c>
      <c r="C34" s="23"/>
      <c r="D34" s="23"/>
      <c r="E34" s="23"/>
      <c r="F34" s="24"/>
      <c r="G34" s="24"/>
      <c r="H34" s="24"/>
      <c r="I34" s="24"/>
      <c r="J34" s="24"/>
      <c r="K34" s="194"/>
      <c r="L34" s="194"/>
      <c r="M34" s="194"/>
      <c r="N34" s="194"/>
      <c r="O34" s="194"/>
    </row>
    <row r="35" spans="1:15" ht="30" customHeight="1">
      <c r="A35" s="130"/>
      <c r="B35" s="172"/>
      <c r="C35" s="37"/>
      <c r="D35" s="37"/>
      <c r="E35" s="37"/>
      <c r="F35" s="38"/>
      <c r="G35" s="38"/>
      <c r="H35" s="38"/>
      <c r="I35" s="38"/>
      <c r="J35" s="38"/>
    </row>
    <row r="36" spans="1:15" ht="30" customHeight="1">
      <c r="A36" s="130"/>
      <c r="B36" s="172" t="s">
        <v>19</v>
      </c>
      <c r="C36" s="37"/>
      <c r="D36" s="37"/>
      <c r="E36" s="37"/>
      <c r="F36" s="38"/>
      <c r="G36" s="38"/>
      <c r="H36" s="38"/>
      <c r="I36" s="38"/>
      <c r="J36" s="38"/>
    </row>
    <row r="37" spans="1:15" ht="30" customHeight="1">
      <c r="A37" s="130"/>
      <c r="B37" s="173" t="s">
        <v>275</v>
      </c>
      <c r="C37" s="37"/>
      <c r="D37" s="37"/>
      <c r="E37" s="37"/>
      <c r="F37" s="38"/>
      <c r="G37" s="38"/>
      <c r="H37" s="38"/>
      <c r="I37" s="38"/>
      <c r="J37" s="38"/>
    </row>
    <row r="38" spans="1:15" ht="30" customHeight="1">
      <c r="A38" s="130"/>
      <c r="B38" s="173" t="s">
        <v>276</v>
      </c>
      <c r="C38" s="37"/>
      <c r="D38" s="37"/>
      <c r="E38" s="37"/>
      <c r="F38" s="38"/>
      <c r="G38" s="38"/>
      <c r="H38" s="38"/>
      <c r="I38" s="38"/>
      <c r="J38" s="38"/>
    </row>
    <row r="39" spans="1:15" ht="30" customHeight="1">
      <c r="A39" s="130"/>
      <c r="B39" s="36"/>
      <c r="C39" s="37"/>
      <c r="D39" s="37"/>
      <c r="E39" s="37"/>
      <c r="F39" s="38"/>
      <c r="G39" s="38"/>
      <c r="H39" s="38"/>
      <c r="I39" s="38"/>
      <c r="J39" s="38"/>
    </row>
    <row r="40" spans="1:15" ht="30" customHeight="1">
      <c r="A40" s="130"/>
      <c r="B40" s="36"/>
      <c r="C40" s="37"/>
      <c r="D40" s="37"/>
      <c r="E40" s="37"/>
      <c r="F40" s="38"/>
      <c r="G40" s="38"/>
      <c r="H40" s="38"/>
      <c r="I40" s="38"/>
      <c r="J40" s="38"/>
    </row>
    <row r="41" spans="1:15" ht="30" customHeight="1">
      <c r="A41" s="130"/>
      <c r="B41" s="36"/>
      <c r="C41" s="37"/>
      <c r="D41" s="37"/>
      <c r="E41" s="37"/>
      <c r="F41" s="38"/>
      <c r="G41" s="38"/>
      <c r="H41" s="38"/>
      <c r="I41" s="38"/>
      <c r="J41" s="38"/>
    </row>
    <row r="42" spans="1:15" ht="30" customHeight="1">
      <c r="A42" s="130"/>
      <c r="B42" s="36"/>
      <c r="C42" s="37"/>
      <c r="D42" s="37"/>
      <c r="E42" s="37"/>
      <c r="F42" s="38"/>
      <c r="G42" s="38"/>
      <c r="H42" s="38"/>
      <c r="I42" s="38"/>
      <c r="J42" s="38"/>
    </row>
    <row r="43" spans="1:15" ht="30" customHeight="1">
      <c r="A43" s="130"/>
      <c r="B43" s="36"/>
      <c r="C43" s="37"/>
      <c r="D43" s="37"/>
      <c r="E43" s="37"/>
      <c r="F43" s="38"/>
      <c r="G43" s="38"/>
      <c r="H43" s="38"/>
      <c r="I43" s="38"/>
      <c r="J43" s="38"/>
    </row>
    <row r="44" spans="1:15" ht="30" customHeight="1">
      <c r="A44" s="130"/>
      <c r="B44" s="36"/>
      <c r="C44" s="37"/>
      <c r="D44" s="37"/>
      <c r="E44" s="37"/>
      <c r="F44" s="38"/>
      <c r="G44" s="38"/>
      <c r="H44" s="38"/>
      <c r="I44" s="38"/>
      <c r="J44" s="38"/>
    </row>
    <row r="45" spans="1:15" ht="30" customHeight="1">
      <c r="B45" s="930"/>
      <c r="C45" s="930"/>
      <c r="D45" s="930"/>
      <c r="E45" s="930"/>
      <c r="F45" s="930"/>
      <c r="G45" s="930"/>
      <c r="H45" s="137"/>
      <c r="I45" s="137"/>
      <c r="J45" s="137"/>
    </row>
    <row r="46" spans="1:15" ht="19.899999999999999" customHeight="1"/>
    <row r="47" spans="1:15" s="25" customFormat="1" ht="25.5" customHeight="1">
      <c r="A47" s="195"/>
      <c r="B47" s="60" t="s">
        <v>222</v>
      </c>
      <c r="C47" s="195"/>
      <c r="D47" s="195"/>
      <c r="E47" s="195"/>
      <c r="F47" s="59"/>
      <c r="G47" s="59"/>
    </row>
    <row r="48" spans="1:15" s="133" customFormat="1" ht="25.5" customHeight="1">
      <c r="A48" s="130"/>
      <c r="B48" s="196" t="s">
        <v>223</v>
      </c>
      <c r="C48" s="130"/>
      <c r="D48" s="130"/>
      <c r="E48" s="130"/>
      <c r="F48" s="197"/>
      <c r="G48" s="197"/>
    </row>
    <row r="49" spans="1:7" s="133" customFormat="1" ht="25.5" customHeight="1">
      <c r="A49" s="130"/>
      <c r="B49" s="135" t="s">
        <v>224</v>
      </c>
      <c r="C49" s="130"/>
      <c r="D49" s="130"/>
      <c r="E49" s="130"/>
      <c r="F49" s="197"/>
      <c r="G49" s="197"/>
    </row>
    <row r="50" spans="1:7" s="133" customFormat="1" ht="25.5" customHeight="1">
      <c r="A50" s="130"/>
      <c r="B50" s="135" t="s">
        <v>225</v>
      </c>
      <c r="C50" s="130"/>
      <c r="D50" s="130"/>
      <c r="E50" s="130"/>
      <c r="F50" s="197"/>
      <c r="G50" s="197"/>
    </row>
    <row r="51" spans="1:7" s="133" customFormat="1" ht="25.5" customHeight="1">
      <c r="A51" s="130"/>
      <c r="B51" s="135" t="s">
        <v>226</v>
      </c>
      <c r="C51" s="130"/>
      <c r="D51" s="130"/>
      <c r="E51" s="130"/>
      <c r="F51" s="197"/>
      <c r="G51" s="197"/>
    </row>
    <row r="52" spans="1:7" s="133" customFormat="1" ht="25.5" customHeight="1">
      <c r="A52" s="130"/>
      <c r="B52" s="135" t="s">
        <v>227</v>
      </c>
      <c r="C52" s="130"/>
      <c r="D52" s="130"/>
      <c r="E52" s="130"/>
      <c r="F52" s="197"/>
      <c r="G52" s="197"/>
    </row>
    <row r="53" spans="1:7" s="133" customFormat="1" ht="25.5" customHeight="1">
      <c r="A53" s="136"/>
      <c r="B53" s="133" t="s">
        <v>228</v>
      </c>
    </row>
    <row r="54" spans="1:7" s="133" customFormat="1" ht="25.5" customHeight="1">
      <c r="A54" s="136"/>
      <c r="B54" s="133" t="s">
        <v>229</v>
      </c>
      <c r="C54" s="136"/>
      <c r="D54" s="136"/>
      <c r="E54" s="136"/>
      <c r="F54" s="198"/>
      <c r="G54" s="198"/>
    </row>
    <row r="55" spans="1:7" s="133" customFormat="1" ht="25.5" customHeight="1">
      <c r="A55" s="136"/>
      <c r="B55" s="133" t="s">
        <v>230</v>
      </c>
      <c r="C55" s="136"/>
      <c r="D55" s="136"/>
      <c r="E55" s="136"/>
      <c r="F55" s="198"/>
      <c r="G55" s="198"/>
    </row>
    <row r="56" spans="1:7" s="133" customFormat="1" ht="25.5" customHeight="1">
      <c r="A56" s="136"/>
      <c r="B56" s="133" t="s">
        <v>231</v>
      </c>
      <c r="C56" s="136"/>
      <c r="D56" s="136"/>
      <c r="E56" s="136"/>
      <c r="F56" s="198"/>
      <c r="G56" s="198"/>
    </row>
    <row r="57" spans="1:7" s="133" customFormat="1" ht="25.5" customHeight="1">
      <c r="A57" s="136"/>
      <c r="B57" s="133" t="s">
        <v>232</v>
      </c>
      <c r="C57" s="136"/>
      <c r="D57" s="136"/>
      <c r="E57" s="136"/>
      <c r="F57" s="198"/>
      <c r="G57" s="198"/>
    </row>
    <row r="58" spans="1:7" s="133" customFormat="1" ht="25.5" customHeight="1">
      <c r="A58" s="136"/>
      <c r="B58" s="133" t="s">
        <v>233</v>
      </c>
      <c r="C58" s="136"/>
      <c r="D58" s="136"/>
      <c r="E58" s="136"/>
      <c r="F58" s="198"/>
      <c r="G58" s="198"/>
    </row>
    <row r="59" spans="1:7" s="133" customFormat="1" ht="25.5" customHeight="1">
      <c r="A59" s="136"/>
      <c r="B59" s="133" t="s">
        <v>234</v>
      </c>
      <c r="C59" s="136"/>
      <c r="D59" s="136"/>
      <c r="E59" s="136"/>
      <c r="F59" s="198"/>
      <c r="G59" s="198"/>
    </row>
    <row r="60" spans="1:7" s="133" customFormat="1" ht="25.5" customHeight="1">
      <c r="B60" s="133" t="s">
        <v>235</v>
      </c>
    </row>
    <row r="61" spans="1:7" s="133" customFormat="1" ht="25.5" customHeight="1">
      <c r="B61" s="133" t="s">
        <v>236</v>
      </c>
    </row>
    <row r="62" spans="1:7" s="133" customFormat="1" ht="25.5" customHeight="1">
      <c r="B62" s="133" t="s">
        <v>237</v>
      </c>
    </row>
    <row r="63" spans="1:7" s="133" customFormat="1" ht="25.5" customHeight="1">
      <c r="B63" s="133" t="s">
        <v>238</v>
      </c>
    </row>
    <row r="64" spans="1:7" s="133" customFormat="1" ht="25.5" customHeight="1">
      <c r="B64" s="133" t="s">
        <v>239</v>
      </c>
    </row>
    <row r="65" spans="1:7" s="133" customFormat="1" ht="25.5" customHeight="1">
      <c r="B65" s="133" t="s">
        <v>240</v>
      </c>
    </row>
    <row r="66" spans="1:7" s="133" customFormat="1" ht="25.5" customHeight="1">
      <c r="B66" s="133" t="s">
        <v>241</v>
      </c>
    </row>
    <row r="67" spans="1:7" s="133" customFormat="1" ht="25.5" customHeight="1">
      <c r="B67" s="133" t="s">
        <v>242</v>
      </c>
    </row>
    <row r="68" spans="1:7" s="133" customFormat="1" ht="25.5" customHeight="1">
      <c r="B68" s="133" t="s">
        <v>243</v>
      </c>
    </row>
    <row r="69" spans="1:7" s="133" customFormat="1" ht="25.5" customHeight="1">
      <c r="B69" s="133" t="s">
        <v>244</v>
      </c>
    </row>
    <row r="70" spans="1:7" s="133" customFormat="1" ht="25.5" customHeight="1">
      <c r="B70" s="133" t="s">
        <v>245</v>
      </c>
    </row>
    <row r="71" spans="1:7" s="133" customFormat="1" ht="25.5" customHeight="1">
      <c r="A71" s="136"/>
      <c r="B71" s="133" t="s">
        <v>246</v>
      </c>
      <c r="C71" s="136"/>
      <c r="D71" s="136"/>
      <c r="E71" s="136"/>
      <c r="F71" s="198"/>
      <c r="G71" s="198"/>
    </row>
    <row r="72" spans="1:7" s="133" customFormat="1" ht="25.5" customHeight="1">
      <c r="B72" s="133" t="s">
        <v>247</v>
      </c>
    </row>
    <row r="73" spans="1:7" s="133" customFormat="1" ht="25.5" customHeight="1">
      <c r="B73" s="133" t="s">
        <v>248</v>
      </c>
    </row>
    <row r="74" spans="1:7" s="133" customFormat="1" ht="25.5" customHeight="1">
      <c r="B74" s="133" t="s">
        <v>249</v>
      </c>
    </row>
    <row r="75" spans="1:7" s="133" customFormat="1" ht="25.5" customHeight="1">
      <c r="B75" s="133" t="s">
        <v>250</v>
      </c>
    </row>
    <row r="76" spans="1:7" s="133" customFormat="1" ht="25.5" customHeight="1">
      <c r="B76" s="133" t="s">
        <v>251</v>
      </c>
    </row>
    <row r="77" spans="1:7" s="133" customFormat="1" ht="25.5" customHeight="1">
      <c r="B77" s="133" t="s">
        <v>252</v>
      </c>
    </row>
    <row r="78" spans="1:7" s="133" customFormat="1" ht="25.5" customHeight="1">
      <c r="B78" s="133" t="s">
        <v>253</v>
      </c>
    </row>
    <row r="79" spans="1:7" s="133" customFormat="1" ht="25.5" customHeight="1">
      <c r="B79" s="133" t="s">
        <v>254</v>
      </c>
    </row>
    <row r="80" spans="1:7" s="133" customFormat="1" ht="25.5" customHeight="1">
      <c r="B80" s="133" t="s">
        <v>255</v>
      </c>
    </row>
    <row r="81" spans="2:2" s="133" customFormat="1" ht="25.5" customHeight="1">
      <c r="B81" s="133" t="s">
        <v>256</v>
      </c>
    </row>
    <row r="82" spans="2:2" s="133" customFormat="1" ht="25.5" customHeight="1">
      <c r="B82" s="133" t="s">
        <v>257</v>
      </c>
    </row>
    <row r="83" spans="2:2" s="133" customFormat="1" ht="25.5" customHeight="1"/>
    <row r="84" spans="2:2" s="133" customFormat="1" ht="25.5" customHeight="1"/>
    <row r="85" spans="2:2" s="133" customFormat="1" ht="25.5" customHeight="1">
      <c r="B85" s="133" t="s">
        <v>258</v>
      </c>
    </row>
    <row r="86" spans="2:2" s="133" customFormat="1" ht="25.5" customHeight="1">
      <c r="B86" s="133" t="s">
        <v>259</v>
      </c>
    </row>
    <row r="87" spans="2:2" s="133" customFormat="1" ht="25.5" customHeight="1">
      <c r="B87" s="133" t="s">
        <v>260</v>
      </c>
    </row>
    <row r="88" spans="2:2" s="133" customFormat="1" ht="25.5" customHeight="1">
      <c r="B88" s="133" t="s">
        <v>261</v>
      </c>
    </row>
    <row r="89" spans="2:2" s="133" customFormat="1" ht="25.5" customHeight="1">
      <c r="B89" s="133" t="s">
        <v>262</v>
      </c>
    </row>
    <row r="90" spans="2:2" s="133" customFormat="1" ht="25.5" customHeight="1">
      <c r="B90" s="133" t="s">
        <v>263</v>
      </c>
    </row>
    <row r="91" spans="2:2" s="133" customFormat="1" ht="25.5" customHeight="1">
      <c r="B91" s="133" t="s">
        <v>264</v>
      </c>
    </row>
    <row r="92" spans="2:2" s="133" customFormat="1" ht="25.5" customHeight="1">
      <c r="B92" s="133" t="s">
        <v>265</v>
      </c>
    </row>
    <row r="93" spans="2:2" s="133" customFormat="1" ht="25.5" customHeight="1">
      <c r="B93" s="133" t="s">
        <v>266</v>
      </c>
    </row>
    <row r="94" spans="2:2" s="133" customFormat="1" ht="25.5" customHeight="1">
      <c r="B94" s="133" t="s">
        <v>267</v>
      </c>
    </row>
    <row r="95" spans="2:2" s="133" customFormat="1" ht="25.5" customHeight="1">
      <c r="B95" s="133" t="s">
        <v>268</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A4:O4"/>
    <mergeCell ref="A1:H1"/>
    <mergeCell ref="J1:O1"/>
    <mergeCell ref="A2:H2"/>
    <mergeCell ref="J2:O2"/>
    <mergeCell ref="A3:O3"/>
    <mergeCell ref="A5:O5"/>
    <mergeCell ref="A6:O6"/>
    <mergeCell ref="A7:A10"/>
    <mergeCell ref="B7:B10"/>
    <mergeCell ref="C7:C10"/>
    <mergeCell ref="D7:D10"/>
    <mergeCell ref="E7:G7"/>
    <mergeCell ref="H7:J7"/>
    <mergeCell ref="K7:K10"/>
    <mergeCell ref="L7:N7"/>
    <mergeCell ref="J9:J10"/>
    <mergeCell ref="M9:M10"/>
    <mergeCell ref="N9:N10"/>
    <mergeCell ref="B45:G45"/>
    <mergeCell ref="O7:O10"/>
    <mergeCell ref="E8:E10"/>
    <mergeCell ref="F8:G8"/>
    <mergeCell ref="H8:H10"/>
    <mergeCell ref="I8:J8"/>
    <mergeCell ref="L8:L10"/>
    <mergeCell ref="M8:N8"/>
    <mergeCell ref="F9:F10"/>
    <mergeCell ref="G9:G10"/>
    <mergeCell ref="I9:I10"/>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0"/>
  <sheetViews>
    <sheetView view="pageBreakPreview" zoomScale="75" zoomScaleNormal="75" zoomScaleSheetLayoutView="75" workbookViewId="0">
      <selection activeCell="L11" sqref="L11"/>
    </sheetView>
  </sheetViews>
  <sheetFormatPr defaultColWidth="8.25" defaultRowHeight="15.75"/>
  <cols>
    <col min="1" max="1" width="5" style="328" customWidth="1"/>
    <col min="2" max="2" width="37.125" style="245" customWidth="1"/>
    <col min="3" max="3" width="8.25" style="245" customWidth="1"/>
    <col min="4" max="4" width="13.25" style="328" customWidth="1"/>
    <col min="5" max="6" width="10.25" style="245" customWidth="1"/>
    <col min="7" max="7" width="9.875" style="245" customWidth="1"/>
    <col min="8" max="9" width="10.25" style="245" customWidth="1"/>
    <col min="10" max="10" width="10.625" style="245" customWidth="1"/>
    <col min="11" max="11" width="13.25" style="245" customWidth="1"/>
    <col min="12" max="12" width="12.875" style="245" customWidth="1"/>
    <col min="13" max="15" width="8.875" style="245" customWidth="1"/>
    <col min="16" max="16" width="8.25" style="245" hidden="1" customWidth="1"/>
    <col min="17" max="17" width="0.125" style="245" hidden="1" customWidth="1"/>
    <col min="18" max="20" width="8.25" style="245" hidden="1" customWidth="1"/>
    <col min="21" max="21" width="8.25" style="245" customWidth="1"/>
    <col min="22" max="22" width="7.625" style="245" customWidth="1"/>
    <col min="23" max="36" width="8.25" style="245" customWidth="1"/>
    <col min="37" max="16384" width="8.25" style="245"/>
  </cols>
  <sheetData>
    <row r="1" spans="1:20" s="216" customFormat="1" ht="27.75" customHeight="1">
      <c r="A1" s="833" t="s">
        <v>822</v>
      </c>
      <c r="B1" s="833"/>
      <c r="C1" s="833"/>
      <c r="D1" s="833"/>
      <c r="E1" s="833"/>
      <c r="F1" s="833"/>
      <c r="G1" s="833"/>
      <c r="H1" s="833"/>
      <c r="I1" s="833"/>
      <c r="J1" s="833"/>
      <c r="K1" s="833"/>
      <c r="L1" s="833"/>
      <c r="M1" s="833"/>
      <c r="N1" s="833"/>
      <c r="O1" s="833"/>
    </row>
    <row r="2" spans="1:20" s="216" customFormat="1" ht="27.75" customHeight="1">
      <c r="A2" s="833" t="s">
        <v>823</v>
      </c>
      <c r="B2" s="833"/>
      <c r="C2" s="833"/>
      <c r="D2" s="833"/>
      <c r="E2" s="833"/>
      <c r="F2" s="833"/>
      <c r="G2" s="833"/>
      <c r="H2" s="833"/>
      <c r="I2" s="833"/>
      <c r="J2" s="833"/>
      <c r="K2" s="833"/>
      <c r="L2" s="833"/>
      <c r="M2" s="833"/>
      <c r="N2" s="833"/>
      <c r="O2" s="833"/>
    </row>
    <row r="3" spans="1:20" s="216" customFormat="1" ht="24" customHeight="1">
      <c r="A3" s="834" t="s">
        <v>824</v>
      </c>
      <c r="B3" s="834"/>
      <c r="C3" s="834"/>
      <c r="D3" s="834"/>
      <c r="E3" s="834"/>
      <c r="F3" s="834"/>
      <c r="G3" s="834"/>
      <c r="H3" s="834"/>
      <c r="I3" s="834"/>
      <c r="J3" s="834"/>
      <c r="K3" s="834"/>
      <c r="L3" s="834"/>
      <c r="M3" s="834"/>
      <c r="N3" s="834"/>
      <c r="O3" s="834"/>
    </row>
    <row r="5" spans="1:20" s="216" customFormat="1" ht="27" customHeight="1">
      <c r="A5" s="835" t="s">
        <v>4</v>
      </c>
      <c r="B5" s="835" t="s">
        <v>825</v>
      </c>
      <c r="C5" s="835" t="s">
        <v>826</v>
      </c>
      <c r="D5" s="832" t="s">
        <v>827</v>
      </c>
      <c r="E5" s="836" t="s">
        <v>828</v>
      </c>
      <c r="F5" s="837"/>
      <c r="G5" s="837"/>
      <c r="H5" s="837"/>
      <c r="I5" s="837"/>
      <c r="J5" s="837"/>
      <c r="K5" s="837"/>
      <c r="L5" s="837"/>
      <c r="M5" s="837"/>
      <c r="N5" s="837"/>
      <c r="O5" s="838"/>
    </row>
    <row r="6" spans="1:20" s="216" customFormat="1" ht="15.75" customHeight="1">
      <c r="A6" s="835"/>
      <c r="B6" s="835" t="s">
        <v>829</v>
      </c>
      <c r="C6" s="835"/>
      <c r="D6" s="832"/>
      <c r="E6" s="832" t="s">
        <v>830</v>
      </c>
      <c r="F6" s="832" t="s">
        <v>831</v>
      </c>
      <c r="G6" s="832" t="s">
        <v>361</v>
      </c>
      <c r="H6" s="832" t="s">
        <v>697</v>
      </c>
      <c r="I6" s="832" t="s">
        <v>398</v>
      </c>
      <c r="J6" s="832" t="s">
        <v>538</v>
      </c>
      <c r="K6" s="832" t="s">
        <v>514</v>
      </c>
      <c r="L6" s="832" t="s">
        <v>486</v>
      </c>
      <c r="M6" s="832" t="s">
        <v>616</v>
      </c>
      <c r="N6" s="832" t="s">
        <v>587</v>
      </c>
      <c r="O6" s="832" t="s">
        <v>487</v>
      </c>
    </row>
    <row r="7" spans="1:20" s="216" customFormat="1" ht="15.75" customHeight="1">
      <c r="A7" s="835"/>
      <c r="B7" s="835"/>
      <c r="C7" s="835"/>
      <c r="D7" s="832"/>
      <c r="E7" s="832"/>
      <c r="F7" s="832" t="s">
        <v>832</v>
      </c>
      <c r="G7" s="832" t="s">
        <v>833</v>
      </c>
      <c r="H7" s="832" t="s">
        <v>833</v>
      </c>
      <c r="I7" s="832" t="s">
        <v>834</v>
      </c>
      <c r="J7" s="832" t="s">
        <v>835</v>
      </c>
      <c r="K7" s="832" t="s">
        <v>836</v>
      </c>
      <c r="L7" s="832" t="s">
        <v>837</v>
      </c>
      <c r="M7" s="832" t="s">
        <v>837</v>
      </c>
      <c r="N7" s="832" t="s">
        <v>838</v>
      </c>
      <c r="O7" s="832" t="s">
        <v>838</v>
      </c>
      <c r="S7" s="216" t="s">
        <v>315</v>
      </c>
    </row>
    <row r="8" spans="1:20" s="216" customFormat="1" ht="63" customHeight="1">
      <c r="A8" s="835"/>
      <c r="B8" s="835"/>
      <c r="C8" s="835"/>
      <c r="D8" s="832"/>
      <c r="E8" s="832"/>
      <c r="F8" s="832"/>
      <c r="G8" s="832"/>
      <c r="H8" s="832" t="s">
        <v>839</v>
      </c>
      <c r="I8" s="832"/>
      <c r="J8" s="832"/>
      <c r="K8" s="832"/>
      <c r="L8" s="832"/>
      <c r="M8" s="832"/>
      <c r="N8" s="832" t="s">
        <v>840</v>
      </c>
      <c r="O8" s="832" t="s">
        <v>840</v>
      </c>
      <c r="R8" s="217"/>
    </row>
    <row r="9" spans="1:20" s="224" customFormat="1" ht="26.25" customHeight="1">
      <c r="A9" s="218"/>
      <c r="B9" s="219" t="s">
        <v>841</v>
      </c>
      <c r="C9" s="220"/>
      <c r="D9" s="221">
        <f t="shared" ref="D9:O9" si="0">D10+D19+D29+D36+D41</f>
        <v>102.42335</v>
      </c>
      <c r="E9" s="222">
        <f t="shared" si="0"/>
        <v>500.00118829718122</v>
      </c>
      <c r="F9" s="222">
        <f t="shared" si="0"/>
        <v>78.397180383434943</v>
      </c>
      <c r="G9" s="222">
        <f t="shared" si="0"/>
        <v>82.902420342199775</v>
      </c>
      <c r="H9" s="222">
        <f t="shared" si="0"/>
        <v>41.12290742503334</v>
      </c>
      <c r="I9" s="222">
        <f t="shared" si="0"/>
        <v>49.418071043663929</v>
      </c>
      <c r="J9" s="222">
        <f t="shared" si="0"/>
        <v>39.713818105626693</v>
      </c>
      <c r="K9" s="222">
        <f t="shared" si="0"/>
        <v>47.373733993044901</v>
      </c>
      <c r="L9" s="222">
        <f t="shared" si="0"/>
        <v>50.360589013641317</v>
      </c>
      <c r="M9" s="222">
        <f t="shared" si="0"/>
        <v>36.800978395590704</v>
      </c>
      <c r="N9" s="222">
        <f t="shared" si="0"/>
        <v>20.257736675785068</v>
      </c>
      <c r="O9" s="222">
        <f t="shared" si="0"/>
        <v>53.653752919160624</v>
      </c>
      <c r="P9" s="223">
        <f>SUM(F9:O9)</f>
        <v>500.00118829718133</v>
      </c>
      <c r="R9" s="221">
        <f>R10+R19+R29+R36+R41</f>
        <v>499.85513079439409</v>
      </c>
      <c r="S9" s="225">
        <f>500/D9</f>
        <v>4.8816993390667269</v>
      </c>
    </row>
    <row r="10" spans="1:20" s="231" customFormat="1" ht="21.95" customHeight="1">
      <c r="A10" s="218" t="s">
        <v>32</v>
      </c>
      <c r="B10" s="226" t="s">
        <v>842</v>
      </c>
      <c r="C10" s="227" t="s">
        <v>843</v>
      </c>
      <c r="D10" s="221">
        <f>D13+D18</f>
        <v>28.213350000000002</v>
      </c>
      <c r="E10" s="228">
        <f t="shared" ref="E10:O10" si="1">E13+E18</f>
        <v>137.62909204785825</v>
      </c>
      <c r="F10" s="222">
        <f t="shared" si="1"/>
        <v>7.6580399169025917</v>
      </c>
      <c r="G10" s="222">
        <f t="shared" si="1"/>
        <v>25.647676946216691</v>
      </c>
      <c r="H10" s="222">
        <f t="shared" si="1"/>
        <v>17.594767148874407</v>
      </c>
      <c r="I10" s="222">
        <f t="shared" si="1"/>
        <v>22.216563241482067</v>
      </c>
      <c r="J10" s="222">
        <f t="shared" si="1"/>
        <v>14.881858406868425</v>
      </c>
      <c r="K10" s="222">
        <f t="shared" si="1"/>
        <v>12.018081506575736</v>
      </c>
      <c r="L10" s="222">
        <f t="shared" si="1"/>
        <v>10.0766354908094</v>
      </c>
      <c r="M10" s="222">
        <f t="shared" si="1"/>
        <v>12.405946252118632</v>
      </c>
      <c r="N10" s="222">
        <f t="shared" si="1"/>
        <v>2.3573119751121876</v>
      </c>
      <c r="O10" s="222">
        <f t="shared" si="1"/>
        <v>12.77221116289812</v>
      </c>
      <c r="P10" s="229"/>
      <c r="Q10" s="216"/>
      <c r="R10" s="230">
        <f>R13+R18</f>
        <v>137.72909204785824</v>
      </c>
      <c r="S10" s="216"/>
      <c r="T10" s="216"/>
    </row>
    <row r="11" spans="1:20" s="239" customFormat="1" ht="21.95" customHeight="1">
      <c r="A11" s="232">
        <v>1</v>
      </c>
      <c r="B11" s="233" t="s">
        <v>844</v>
      </c>
      <c r="C11" s="232" t="s">
        <v>845</v>
      </c>
      <c r="D11" s="234"/>
      <c r="E11" s="235">
        <f>SUM(F11:O11)</f>
        <v>538069</v>
      </c>
      <c r="F11" s="235">
        <v>53998</v>
      </c>
      <c r="G11" s="235">
        <v>113584</v>
      </c>
      <c r="H11" s="235">
        <v>61158</v>
      </c>
      <c r="I11" s="235">
        <v>79447</v>
      </c>
      <c r="J11" s="235">
        <v>51306</v>
      </c>
      <c r="K11" s="235">
        <v>42380</v>
      </c>
      <c r="L11" s="235">
        <v>35456</v>
      </c>
      <c r="M11" s="235">
        <v>44179</v>
      </c>
      <c r="N11" s="235">
        <v>11007</v>
      </c>
      <c r="O11" s="235">
        <v>45554</v>
      </c>
      <c r="P11" s="236" t="s">
        <v>846</v>
      </c>
      <c r="Q11" s="237"/>
      <c r="R11" s="238"/>
      <c r="S11" s="237"/>
      <c r="T11" s="237"/>
    </row>
    <row r="12" spans="1:20" s="247" customFormat="1" ht="21.95" customHeight="1">
      <c r="A12" s="227"/>
      <c r="B12" s="240" t="s">
        <v>847</v>
      </c>
      <c r="C12" s="227"/>
      <c r="D12" s="241"/>
      <c r="E12" s="242">
        <f>R13/(E11/10000)</f>
        <v>1.010878451552407</v>
      </c>
      <c r="F12" s="242"/>
      <c r="G12" s="242"/>
      <c r="H12" s="242"/>
      <c r="I12" s="242"/>
      <c r="J12" s="242"/>
      <c r="K12" s="242"/>
      <c r="L12" s="242"/>
      <c r="M12" s="242"/>
      <c r="N12" s="242"/>
      <c r="O12" s="243"/>
      <c r="P12" s="244"/>
      <c r="Q12" s="245"/>
      <c r="R12" s="246"/>
      <c r="S12" s="245"/>
      <c r="T12" s="245"/>
    </row>
    <row r="13" spans="1:20" s="247" customFormat="1" ht="21.95" customHeight="1">
      <c r="A13" s="227" t="s">
        <v>848</v>
      </c>
      <c r="B13" s="248" t="s">
        <v>849</v>
      </c>
      <c r="C13" s="227" t="s">
        <v>843</v>
      </c>
      <c r="D13" s="249">
        <f>(E11-500000)/100000*3+10</f>
        <v>11.14207</v>
      </c>
      <c r="E13" s="250">
        <f>SUM(F13:O13)</f>
        <v>54.392235754835212</v>
      </c>
      <c r="F13" s="242">
        <f>F11*E12/10000</f>
        <v>5.4585414626926871</v>
      </c>
      <c r="G13" s="242">
        <f>G11*E12/10000</f>
        <v>11.481961804112858</v>
      </c>
      <c r="H13" s="242">
        <f>H11*E12/10000</f>
        <v>6.1823304340042107</v>
      </c>
      <c r="I13" s="242">
        <f>I11*E12/10000</f>
        <v>8.0311260340484072</v>
      </c>
      <c r="J13" s="242">
        <f>J11*E12/10000</f>
        <v>5.1864129835347788</v>
      </c>
      <c r="K13" s="242">
        <f>K11*E12/10000</f>
        <v>4.2841028776791008</v>
      </c>
      <c r="L13" s="242">
        <f>L11*E12/10000</f>
        <v>3.5841706378242137</v>
      </c>
      <c r="M13" s="242">
        <f>M11*E12/10000</f>
        <v>4.4659599111133783</v>
      </c>
      <c r="N13" s="242">
        <f>N11*E12/10000</f>
        <v>1.1126739116237345</v>
      </c>
      <c r="O13" s="242">
        <f>O11*E12/10000</f>
        <v>4.6049556982018345</v>
      </c>
      <c r="P13" s="244"/>
      <c r="Q13" s="245"/>
      <c r="R13" s="230">
        <f>D13*S9</f>
        <v>54.392235754835205</v>
      </c>
      <c r="S13" s="245"/>
      <c r="T13" s="245"/>
    </row>
    <row r="14" spans="1:20" s="251" customFormat="1" ht="21.95" customHeight="1">
      <c r="A14" s="232">
        <v>2</v>
      </c>
      <c r="B14" s="233" t="s">
        <v>850</v>
      </c>
      <c r="C14" s="232" t="s">
        <v>845</v>
      </c>
      <c r="D14" s="234"/>
      <c r="E14" s="235">
        <f>SUM(F14:O14)</f>
        <v>426782</v>
      </c>
      <c r="F14" s="235">
        <v>11264</v>
      </c>
      <c r="G14" s="235">
        <v>72545</v>
      </c>
      <c r="H14" s="235">
        <v>58445</v>
      </c>
      <c r="I14" s="235">
        <v>72646</v>
      </c>
      <c r="J14" s="235">
        <v>49652</v>
      </c>
      <c r="K14" s="235">
        <v>39607</v>
      </c>
      <c r="L14" s="235">
        <v>33249</v>
      </c>
      <c r="M14" s="235">
        <v>40662</v>
      </c>
      <c r="N14" s="235">
        <v>6374</v>
      </c>
      <c r="O14" s="235">
        <v>42338</v>
      </c>
      <c r="P14" s="236"/>
      <c r="Q14" s="237"/>
      <c r="R14" s="238"/>
      <c r="S14" s="237"/>
      <c r="T14" s="237"/>
    </row>
    <row r="15" spans="1:20" s="252" customFormat="1" ht="21.95" hidden="1" customHeight="1">
      <c r="A15" s="232"/>
      <c r="B15" s="233" t="s">
        <v>851</v>
      </c>
      <c r="C15" s="232"/>
      <c r="D15" s="234"/>
      <c r="E15" s="235"/>
      <c r="F15" s="235">
        <v>11264</v>
      </c>
      <c r="G15" s="235">
        <v>72545</v>
      </c>
      <c r="H15" s="235">
        <v>60993</v>
      </c>
      <c r="I15" s="235">
        <v>71372</v>
      </c>
      <c r="J15" s="235">
        <v>49652</v>
      </c>
      <c r="K15" s="235">
        <v>39607</v>
      </c>
      <c r="L15" s="235">
        <v>33249</v>
      </c>
      <c r="M15" s="235">
        <v>39319</v>
      </c>
      <c r="N15" s="235">
        <v>6374</v>
      </c>
      <c r="O15" s="235"/>
      <c r="P15" s="236"/>
      <c r="Q15" s="237"/>
      <c r="R15" s="238"/>
      <c r="S15" s="237"/>
      <c r="T15" s="237"/>
    </row>
    <row r="16" spans="1:20" s="247" customFormat="1" ht="21.95" customHeight="1">
      <c r="A16" s="227"/>
      <c r="B16" s="240" t="s">
        <v>852</v>
      </c>
      <c r="C16" s="227"/>
      <c r="D16" s="241"/>
      <c r="E16" s="242">
        <f>R18/(E14/10000)</f>
        <v>1.9526797356266912</v>
      </c>
      <c r="F16" s="243"/>
      <c r="G16" s="243"/>
      <c r="H16" s="243"/>
      <c r="I16" s="243"/>
      <c r="J16" s="243"/>
      <c r="K16" s="243"/>
      <c r="L16" s="243"/>
      <c r="M16" s="243"/>
      <c r="N16" s="243"/>
      <c r="O16" s="243"/>
      <c r="P16" s="253"/>
      <c r="Q16" s="245"/>
      <c r="R16" s="246"/>
      <c r="S16" s="245"/>
      <c r="T16" s="245"/>
    </row>
    <row r="17" spans="1:20" s="261" customFormat="1" ht="21.95" customHeight="1">
      <c r="A17" s="254" t="s">
        <v>168</v>
      </c>
      <c r="B17" s="255" t="s">
        <v>853</v>
      </c>
      <c r="C17" s="254" t="s">
        <v>854</v>
      </c>
      <c r="D17" s="256"/>
      <c r="E17" s="257">
        <f>E14/E11*100</f>
        <v>79.317336624113267</v>
      </c>
      <c r="F17" s="257">
        <f t="shared" ref="F17:O17" si="2">F14/F11*100</f>
        <v>20.860031853031593</v>
      </c>
      <c r="G17" s="257">
        <f t="shared" si="2"/>
        <v>63.86903084941541</v>
      </c>
      <c r="H17" s="257">
        <f t="shared" si="2"/>
        <v>95.563949115406004</v>
      </c>
      <c r="I17" s="257">
        <f t="shared" si="2"/>
        <v>91.43957606958098</v>
      </c>
      <c r="J17" s="257">
        <f t="shared" si="2"/>
        <v>96.776205512025882</v>
      </c>
      <c r="K17" s="257">
        <f t="shared" si="2"/>
        <v>93.456819254365257</v>
      </c>
      <c r="L17" s="257">
        <f t="shared" si="2"/>
        <v>93.775383574007222</v>
      </c>
      <c r="M17" s="257">
        <f t="shared" si="2"/>
        <v>92.039204146766565</v>
      </c>
      <c r="N17" s="257">
        <f t="shared" si="2"/>
        <v>57.908603615880807</v>
      </c>
      <c r="O17" s="257">
        <f t="shared" si="2"/>
        <v>92.940246740132594</v>
      </c>
      <c r="P17" s="258"/>
      <c r="Q17" s="259"/>
      <c r="R17" s="260"/>
      <c r="S17" s="259"/>
      <c r="T17" s="259"/>
    </row>
    <row r="18" spans="1:20" s="263" customFormat="1" ht="21.95" customHeight="1">
      <c r="A18" s="227" t="s">
        <v>848</v>
      </c>
      <c r="B18" s="248" t="s">
        <v>849</v>
      </c>
      <c r="C18" s="227" t="s">
        <v>843</v>
      </c>
      <c r="D18" s="249">
        <f>E14/100000*4</f>
        <v>17.071280000000002</v>
      </c>
      <c r="E18" s="250">
        <f>SUM(F18:O18)</f>
        <v>83.236856293023038</v>
      </c>
      <c r="F18" s="262">
        <f>F14*E16/10000</f>
        <v>2.199498454209905</v>
      </c>
      <c r="G18" s="262">
        <f>G14*E16/10000</f>
        <v>14.165715142103831</v>
      </c>
      <c r="H18" s="262">
        <f>H14*E16/10000</f>
        <v>11.412436714870196</v>
      </c>
      <c r="I18" s="262">
        <f>I14*E16/10000</f>
        <v>14.18543720743366</v>
      </c>
      <c r="J18" s="262">
        <f>J14*E16/10000</f>
        <v>9.6954454233336467</v>
      </c>
      <c r="K18" s="262">
        <f>K14*E16/10000</f>
        <v>7.7339786288966348</v>
      </c>
      <c r="L18" s="262">
        <f>L14*E16/10000</f>
        <v>6.4924648529851856</v>
      </c>
      <c r="M18" s="262">
        <f>M14*E16/10000</f>
        <v>7.9399863410052527</v>
      </c>
      <c r="N18" s="262">
        <f>N14*E16/10000</f>
        <v>1.2446380634884531</v>
      </c>
      <c r="O18" s="262">
        <f>O14*E16/10000-0.1</f>
        <v>8.1672554646962858</v>
      </c>
      <c r="P18" s="244"/>
      <c r="Q18" s="245"/>
      <c r="R18" s="230">
        <f>D18*S9</f>
        <v>83.336856293023047</v>
      </c>
      <c r="S18" s="245"/>
      <c r="T18" s="245"/>
    </row>
    <row r="19" spans="1:20" s="265" customFormat="1" ht="21.95" customHeight="1">
      <c r="A19" s="218" t="s">
        <v>48</v>
      </c>
      <c r="B19" s="219" t="s">
        <v>855</v>
      </c>
      <c r="C19" s="227" t="s">
        <v>843</v>
      </c>
      <c r="D19" s="221">
        <f t="shared" ref="D19:O19" si="3">D20+D25</f>
        <v>29.95</v>
      </c>
      <c r="E19" s="264">
        <f t="shared" si="3"/>
        <v>146.36202599944249</v>
      </c>
      <c r="F19" s="222">
        <f t="shared" si="3"/>
        <v>56.419140466532355</v>
      </c>
      <c r="G19" s="222">
        <f t="shared" si="3"/>
        <v>18.747069775342865</v>
      </c>
      <c r="H19" s="222">
        <f t="shared" si="3"/>
        <v>7.7327582761589326</v>
      </c>
      <c r="I19" s="222">
        <f t="shared" si="3"/>
        <v>11.448851802181856</v>
      </c>
      <c r="J19" s="222">
        <f t="shared" si="3"/>
        <v>9.6340696987582675</v>
      </c>
      <c r="K19" s="222">
        <f t="shared" si="3"/>
        <v>10.292471081309113</v>
      </c>
      <c r="L19" s="222">
        <f t="shared" si="3"/>
        <v>10.602656712511809</v>
      </c>
      <c r="M19" s="222">
        <f t="shared" si="3"/>
        <v>9.587992143472075</v>
      </c>
      <c r="N19" s="222">
        <f t="shared" si="3"/>
        <v>3.58042470067288</v>
      </c>
      <c r="O19" s="222">
        <f t="shared" si="3"/>
        <v>8.3165913425023614</v>
      </c>
      <c r="P19" s="236"/>
      <c r="Q19" s="216"/>
      <c r="R19" s="230">
        <f>R20+R25</f>
        <v>146.06202599944254</v>
      </c>
      <c r="S19" s="216"/>
      <c r="T19" s="216"/>
    </row>
    <row r="20" spans="1:20" s="251" customFormat="1" ht="21.95" customHeight="1">
      <c r="A20" s="232">
        <v>1</v>
      </c>
      <c r="B20" s="233" t="s">
        <v>856</v>
      </c>
      <c r="C20" s="227" t="s">
        <v>843</v>
      </c>
      <c r="D20" s="266">
        <v>10.279999999999998</v>
      </c>
      <c r="E20" s="267">
        <f>SUM(F20:O20)</f>
        <v>50.039000000000001</v>
      </c>
      <c r="F20" s="268">
        <f t="shared" ref="F20:S20" si="4">F24</f>
        <v>0.1079</v>
      </c>
      <c r="G20" s="268">
        <f t="shared" si="4"/>
        <v>2.2932000000000001</v>
      </c>
      <c r="H20" s="268">
        <f t="shared" si="4"/>
        <v>6.1944999999999997</v>
      </c>
      <c r="I20" s="268">
        <f t="shared" si="4"/>
        <v>5.886400000000001</v>
      </c>
      <c r="J20" s="268">
        <f t="shared" si="4"/>
        <v>7.1344000000000012</v>
      </c>
      <c r="K20" s="268">
        <f t="shared" si="4"/>
        <v>6.9550000000000001</v>
      </c>
      <c r="L20" s="268">
        <f t="shared" si="4"/>
        <v>7.0317000000000007</v>
      </c>
      <c r="M20" s="268">
        <f t="shared" si="4"/>
        <v>6.1016000000000004</v>
      </c>
      <c r="N20" s="268">
        <f t="shared" si="4"/>
        <v>0.7319</v>
      </c>
      <c r="O20" s="268">
        <f t="shared" si="4"/>
        <v>7.6024000000000003</v>
      </c>
      <c r="P20" s="268">
        <f t="shared" si="4"/>
        <v>0</v>
      </c>
      <c r="Q20" s="268">
        <f t="shared" si="4"/>
        <v>0</v>
      </c>
      <c r="R20" s="268">
        <f>E20</f>
        <v>50.039000000000001</v>
      </c>
      <c r="S20" s="268">
        <f t="shared" si="4"/>
        <v>0</v>
      </c>
      <c r="T20" s="237"/>
    </row>
    <row r="21" spans="1:20" s="247" customFormat="1" ht="21.95" customHeight="1">
      <c r="A21" s="227" t="s">
        <v>848</v>
      </c>
      <c r="B21" s="248" t="s">
        <v>857</v>
      </c>
      <c r="C21" s="227" t="s">
        <v>854</v>
      </c>
      <c r="D21" s="269"/>
      <c r="E21" s="242">
        <v>38.5</v>
      </c>
      <c r="F21" s="242">
        <v>0.83</v>
      </c>
      <c r="G21" s="242">
        <v>17.64</v>
      </c>
      <c r="H21" s="242">
        <v>47.65</v>
      </c>
      <c r="I21" s="242">
        <v>45.28</v>
      </c>
      <c r="J21" s="242">
        <v>54.88</v>
      </c>
      <c r="K21" s="242">
        <v>53.5</v>
      </c>
      <c r="L21" s="242">
        <v>54.09</v>
      </c>
      <c r="M21" s="242">
        <v>42.32</v>
      </c>
      <c r="N21" s="242">
        <v>5.63</v>
      </c>
      <c r="O21" s="242">
        <v>58.48</v>
      </c>
      <c r="P21" s="229"/>
      <c r="Q21" s="245"/>
      <c r="R21" s="246"/>
      <c r="S21" s="245">
        <f>R20/E21</f>
        <v>1.2997142857142858</v>
      </c>
      <c r="T21" s="245"/>
    </row>
    <row r="22" spans="1:20" s="247" customFormat="1" ht="21.95" customHeight="1">
      <c r="A22" s="227"/>
      <c r="B22" s="248" t="s">
        <v>858</v>
      </c>
      <c r="C22" s="227" t="s">
        <v>859</v>
      </c>
      <c r="D22" s="269"/>
      <c r="E22" s="243">
        <f>SUM(F22:O22)</f>
        <v>39422</v>
      </c>
      <c r="F22" s="243">
        <v>112</v>
      </c>
      <c r="G22" s="243">
        <v>4651</v>
      </c>
      <c r="H22" s="243">
        <v>5445</v>
      </c>
      <c r="I22" s="243">
        <v>7425</v>
      </c>
      <c r="J22" s="243">
        <v>5239</v>
      </c>
      <c r="K22" s="243">
        <v>4113</v>
      </c>
      <c r="L22" s="243">
        <v>3690</v>
      </c>
      <c r="M22" s="243">
        <v>3976</v>
      </c>
      <c r="N22" s="243">
        <v>166</v>
      </c>
      <c r="O22" s="243">
        <v>4605</v>
      </c>
      <c r="P22" s="244"/>
      <c r="Q22" s="245"/>
      <c r="R22" s="270">
        <f>R20/E21</f>
        <v>1.2997142857142858</v>
      </c>
      <c r="S22" s="245">
        <f>D22/R20</f>
        <v>0</v>
      </c>
      <c r="T22" s="245"/>
    </row>
    <row r="23" spans="1:20" s="247" customFormat="1" ht="21.95" customHeight="1">
      <c r="A23" s="227"/>
      <c r="B23" s="248" t="s">
        <v>860</v>
      </c>
      <c r="C23" s="227" t="s">
        <v>843</v>
      </c>
      <c r="D23" s="269"/>
      <c r="E23" s="242">
        <v>0.65</v>
      </c>
      <c r="F23" s="243"/>
      <c r="G23" s="243"/>
      <c r="H23" s="243"/>
      <c r="I23" s="243"/>
      <c r="J23" s="243"/>
      <c r="K23" s="243"/>
      <c r="L23" s="243"/>
      <c r="M23" s="243"/>
      <c r="N23" s="243"/>
      <c r="O23" s="243"/>
      <c r="P23" s="244"/>
      <c r="Q23" s="245"/>
      <c r="R23" s="270"/>
      <c r="S23" s="245"/>
      <c r="T23" s="245"/>
    </row>
    <row r="24" spans="1:20" s="247" customFormat="1" ht="21.95" customHeight="1">
      <c r="A24" s="227"/>
      <c r="B24" s="255" t="s">
        <v>861</v>
      </c>
      <c r="C24" s="227" t="s">
        <v>843</v>
      </c>
      <c r="D24" s="269" t="s">
        <v>315</v>
      </c>
      <c r="E24" s="243">
        <f t="shared" ref="E24:E30" si="5">SUM(F24:O24)</f>
        <v>50.039000000000001</v>
      </c>
      <c r="F24" s="242">
        <f>F21/5*0.65</f>
        <v>0.1079</v>
      </c>
      <c r="G24" s="242">
        <f>G21/5*0.65</f>
        <v>2.2932000000000001</v>
      </c>
      <c r="H24" s="242">
        <f t="shared" ref="H24:O24" si="6">H21/5*0.65</f>
        <v>6.1944999999999997</v>
      </c>
      <c r="I24" s="242">
        <f t="shared" si="6"/>
        <v>5.886400000000001</v>
      </c>
      <c r="J24" s="242">
        <f t="shared" si="6"/>
        <v>7.1344000000000012</v>
      </c>
      <c r="K24" s="242">
        <f t="shared" si="6"/>
        <v>6.9550000000000001</v>
      </c>
      <c r="L24" s="242">
        <f t="shared" si="6"/>
        <v>7.0317000000000007</v>
      </c>
      <c r="M24" s="242">
        <f>M21/5*0.65+0.5+0.1</f>
        <v>6.1016000000000004</v>
      </c>
      <c r="N24" s="242">
        <f t="shared" si="6"/>
        <v>0.7319</v>
      </c>
      <c r="O24" s="242">
        <f t="shared" si="6"/>
        <v>7.6024000000000003</v>
      </c>
      <c r="P24" s="244"/>
      <c r="Q24" s="245"/>
      <c r="R24" s="270"/>
      <c r="S24" s="245"/>
      <c r="T24" s="245" t="s">
        <v>315</v>
      </c>
    </row>
    <row r="25" spans="1:20" s="251" customFormat="1" ht="29.25" customHeight="1">
      <c r="A25" s="271">
        <v>2</v>
      </c>
      <c r="B25" s="272" t="s">
        <v>862</v>
      </c>
      <c r="C25" s="271"/>
      <c r="D25" s="266">
        <v>19.670000000000002</v>
      </c>
      <c r="E25" s="273">
        <v>96.323025999442507</v>
      </c>
      <c r="F25" s="273">
        <v>56.311240466532354</v>
      </c>
      <c r="G25" s="273">
        <v>16.453869775342866</v>
      </c>
      <c r="H25" s="273">
        <v>1.5382582761589325</v>
      </c>
      <c r="I25" s="273">
        <v>5.5624518021818545</v>
      </c>
      <c r="J25" s="273">
        <v>2.4996696987582654</v>
      </c>
      <c r="K25" s="273">
        <v>3.3374710813091126</v>
      </c>
      <c r="L25" s="273">
        <v>3.5709567125118076</v>
      </c>
      <c r="M25" s="273">
        <v>3.4863921434720742</v>
      </c>
      <c r="N25" s="273">
        <v>2.84852470067288</v>
      </c>
      <c r="O25" s="273">
        <v>0.71419134250236149</v>
      </c>
      <c r="P25" s="273">
        <v>0</v>
      </c>
      <c r="Q25" s="273">
        <v>0</v>
      </c>
      <c r="R25" s="274">
        <v>96.023025999442524</v>
      </c>
      <c r="S25" s="275"/>
      <c r="T25" s="237"/>
    </row>
    <row r="26" spans="1:20" s="247" customFormat="1" ht="43.5" customHeight="1">
      <c r="A26" s="276" t="s">
        <v>848</v>
      </c>
      <c r="B26" s="277" t="s">
        <v>863</v>
      </c>
      <c r="C26" s="276" t="s">
        <v>864</v>
      </c>
      <c r="D26" s="278"/>
      <c r="E26" s="279">
        <v>349.57000000000005</v>
      </c>
      <c r="F26" s="279">
        <v>205</v>
      </c>
      <c r="G26" s="279">
        <v>59.9</v>
      </c>
      <c r="H26" s="279">
        <v>5.6</v>
      </c>
      <c r="I26" s="279">
        <v>20.25</v>
      </c>
      <c r="J26" s="279">
        <v>9.1</v>
      </c>
      <c r="K26" s="279">
        <v>12.15</v>
      </c>
      <c r="L26" s="279">
        <v>13</v>
      </c>
      <c r="M26" s="279">
        <v>11.6</v>
      </c>
      <c r="N26" s="279">
        <v>10.37</v>
      </c>
      <c r="O26" s="279">
        <v>2.6</v>
      </c>
      <c r="P26" s="280"/>
      <c r="Q26" s="281"/>
      <c r="R26" s="282"/>
      <c r="S26" s="283"/>
      <c r="T26" s="245"/>
    </row>
    <row r="27" spans="1:20" s="247" customFormat="1" ht="43.5" customHeight="1">
      <c r="A27" s="276" t="s">
        <v>848</v>
      </c>
      <c r="B27" s="284" t="s">
        <v>865</v>
      </c>
      <c r="C27" s="276" t="s">
        <v>843</v>
      </c>
      <c r="D27" s="276"/>
      <c r="E27" s="279">
        <v>1.3734448894276183</v>
      </c>
      <c r="F27" s="279"/>
      <c r="G27" s="279"/>
      <c r="H27" s="279"/>
      <c r="I27" s="279"/>
      <c r="J27" s="279"/>
      <c r="K27" s="279"/>
      <c r="L27" s="279"/>
      <c r="M27" s="279"/>
      <c r="N27" s="279"/>
      <c r="O27" s="285"/>
      <c r="P27" s="286"/>
      <c r="Q27" s="281"/>
      <c r="R27" s="282"/>
      <c r="S27" s="281"/>
      <c r="T27" s="245"/>
    </row>
    <row r="28" spans="1:20" s="247" customFormat="1" ht="21.95" customHeight="1">
      <c r="A28" s="276"/>
      <c r="B28" s="287" t="s">
        <v>866</v>
      </c>
      <c r="C28" s="276" t="s">
        <v>867</v>
      </c>
      <c r="D28" s="288">
        <v>19.670000000000002</v>
      </c>
      <c r="E28" s="279">
        <v>96.323025999442507</v>
      </c>
      <c r="F28" s="279">
        <v>56.311240466532354</v>
      </c>
      <c r="G28" s="279">
        <v>16.453869775342866</v>
      </c>
      <c r="H28" s="279">
        <v>1.5382582761589325</v>
      </c>
      <c r="I28" s="279">
        <v>5.5624518021818545</v>
      </c>
      <c r="J28" s="279">
        <v>2.4996696987582654</v>
      </c>
      <c r="K28" s="279">
        <v>3.3374710813091126</v>
      </c>
      <c r="L28" s="279">
        <v>3.5709567125118076</v>
      </c>
      <c r="M28" s="279">
        <v>3.4863921434720742</v>
      </c>
      <c r="N28" s="279">
        <v>2.84852470067288</v>
      </c>
      <c r="O28" s="279">
        <v>0.71419134250236149</v>
      </c>
      <c r="P28" s="286"/>
      <c r="Q28" s="281"/>
      <c r="R28" s="282"/>
      <c r="S28" s="281"/>
      <c r="T28" s="245"/>
    </row>
    <row r="29" spans="1:20" s="231" customFormat="1" ht="29.25" customHeight="1">
      <c r="A29" s="218" t="s">
        <v>180</v>
      </c>
      <c r="B29" s="219" t="s">
        <v>868</v>
      </c>
      <c r="C29" s="227" t="s">
        <v>843</v>
      </c>
      <c r="D29" s="221">
        <f>D35</f>
        <v>16.559999999999999</v>
      </c>
      <c r="E29" s="228">
        <f t="shared" si="5"/>
        <v>80.819285999999991</v>
      </c>
      <c r="F29" s="222">
        <f>F35</f>
        <v>7</v>
      </c>
      <c r="G29" s="222">
        <f t="shared" ref="G29:O29" si="7">G35</f>
        <v>8.7335560000000001</v>
      </c>
      <c r="H29" s="222">
        <f t="shared" si="7"/>
        <v>8.4753819999999997</v>
      </c>
      <c r="I29" s="222">
        <f t="shared" si="7"/>
        <v>8.4326559999999997</v>
      </c>
      <c r="J29" s="222">
        <f t="shared" si="7"/>
        <v>7.8778899999999998</v>
      </c>
      <c r="K29" s="222">
        <f t="shared" si="7"/>
        <v>8.469652</v>
      </c>
      <c r="L29" s="222">
        <f t="shared" si="7"/>
        <v>8.6942380000000004</v>
      </c>
      <c r="M29" s="222">
        <f t="shared" si="7"/>
        <v>7.4870400000000004</v>
      </c>
      <c r="N29" s="222">
        <f t="shared" si="7"/>
        <v>7</v>
      </c>
      <c r="O29" s="222">
        <f t="shared" si="7"/>
        <v>8.648871999999999</v>
      </c>
      <c r="P29" s="229"/>
      <c r="Q29" s="216"/>
      <c r="R29" s="217">
        <f>D29*S9</f>
        <v>80.840941054944992</v>
      </c>
      <c r="S29" s="216"/>
      <c r="T29" s="216"/>
    </row>
    <row r="30" spans="1:20" s="251" customFormat="1" ht="21.95" customHeight="1">
      <c r="A30" s="232">
        <v>1</v>
      </c>
      <c r="B30" s="233" t="s">
        <v>869</v>
      </c>
      <c r="C30" s="232" t="s">
        <v>870</v>
      </c>
      <c r="D30" s="289" t="s">
        <v>315</v>
      </c>
      <c r="E30" s="290">
        <f t="shared" si="5"/>
        <v>956.28699999999992</v>
      </c>
      <c r="F30" s="290">
        <v>6.4269999999999996</v>
      </c>
      <c r="G30" s="290">
        <v>163.92599999999999</v>
      </c>
      <c r="H30" s="290">
        <v>120.89700000000001</v>
      </c>
      <c r="I30" s="290">
        <v>113.776</v>
      </c>
      <c r="J30" s="290">
        <v>68.525999999999996</v>
      </c>
      <c r="K30" s="290">
        <v>119.94199999999999</v>
      </c>
      <c r="L30" s="290">
        <v>157.37299999999999</v>
      </c>
      <c r="M30" s="290">
        <v>44.351999999999997</v>
      </c>
      <c r="N30" s="290">
        <v>11.256</v>
      </c>
      <c r="O30" s="290">
        <v>149.81200000000001</v>
      </c>
      <c r="P30" s="236"/>
      <c r="Q30" s="237"/>
      <c r="R30" s="238"/>
      <c r="S30" s="237"/>
      <c r="T30" s="237"/>
    </row>
    <row r="31" spans="1:20" s="261" customFormat="1" ht="28.5" customHeight="1">
      <c r="A31" s="254"/>
      <c r="B31" s="291" t="s">
        <v>871</v>
      </c>
      <c r="C31" s="292"/>
      <c r="D31" s="293"/>
      <c r="E31" s="294"/>
      <c r="F31" s="294">
        <v>7</v>
      </c>
      <c r="G31" s="294">
        <v>7</v>
      </c>
      <c r="H31" s="294">
        <v>7</v>
      </c>
      <c r="I31" s="294">
        <v>7</v>
      </c>
      <c r="J31" s="294">
        <v>7</v>
      </c>
      <c r="K31" s="294">
        <v>7</v>
      </c>
      <c r="L31" s="294">
        <v>7</v>
      </c>
      <c r="M31" s="294">
        <v>7</v>
      </c>
      <c r="N31" s="294">
        <v>7</v>
      </c>
      <c r="O31" s="294">
        <v>7</v>
      </c>
      <c r="P31" s="258"/>
      <c r="Q31" s="259"/>
      <c r="R31" s="260"/>
      <c r="S31" s="259"/>
      <c r="T31" s="259"/>
    </row>
    <row r="32" spans="1:20" s="261" customFormat="1" ht="46.5" customHeight="1">
      <c r="A32" s="254"/>
      <c r="B32" s="295" t="s">
        <v>872</v>
      </c>
      <c r="C32" s="292"/>
      <c r="D32" s="293"/>
      <c r="E32" s="294"/>
      <c r="F32" s="294"/>
      <c r="G32" s="294">
        <v>0.6</v>
      </c>
      <c r="H32" s="294">
        <v>0.6</v>
      </c>
      <c r="I32" s="294">
        <v>0.6</v>
      </c>
      <c r="J32" s="294">
        <v>0.6</v>
      </c>
      <c r="K32" s="294">
        <v>0.6</v>
      </c>
      <c r="L32" s="294">
        <v>0.6</v>
      </c>
      <c r="M32" s="294">
        <v>0.48704000000000003</v>
      </c>
      <c r="N32" s="294"/>
      <c r="O32" s="294">
        <v>0.6</v>
      </c>
      <c r="P32" s="258"/>
      <c r="Q32" s="259"/>
      <c r="R32" s="260"/>
      <c r="S32" s="259"/>
      <c r="T32" s="259"/>
    </row>
    <row r="33" spans="1:20" s="261" customFormat="1" ht="51.75" customHeight="1">
      <c r="A33" s="254"/>
      <c r="B33" s="295" t="s">
        <v>873</v>
      </c>
      <c r="C33" s="292"/>
      <c r="D33" s="293"/>
      <c r="E33" s="294"/>
      <c r="F33" s="294"/>
      <c r="G33" s="294">
        <v>0.75</v>
      </c>
      <c r="H33" s="294">
        <v>0.75</v>
      </c>
      <c r="I33" s="294">
        <v>0.75</v>
      </c>
      <c r="J33" s="296">
        <v>0.27788999999999991</v>
      </c>
      <c r="K33" s="294">
        <v>0.75</v>
      </c>
      <c r="L33" s="294">
        <v>0.75</v>
      </c>
      <c r="M33" s="294"/>
      <c r="N33" s="294"/>
      <c r="O33" s="294">
        <v>0.75</v>
      </c>
      <c r="P33" s="258"/>
      <c r="Q33" s="259"/>
      <c r="R33" s="260"/>
      <c r="S33" s="259"/>
      <c r="T33" s="259"/>
    </row>
    <row r="34" spans="1:20" s="261" customFormat="1" ht="39.75" customHeight="1">
      <c r="A34" s="254"/>
      <c r="B34" s="295" t="s">
        <v>874</v>
      </c>
      <c r="C34" s="292"/>
      <c r="D34" s="293"/>
      <c r="E34" s="294"/>
      <c r="F34" s="294"/>
      <c r="G34" s="294">
        <f>0.383556</f>
        <v>0.38355600000000001</v>
      </c>
      <c r="H34" s="294">
        <v>0.12538200000000005</v>
      </c>
      <c r="I34" s="294">
        <v>8.2655999999999979E-2</v>
      </c>
      <c r="J34" s="294"/>
      <c r="K34" s="294">
        <v>0.11965199999999995</v>
      </c>
      <c r="L34" s="294">
        <v>0.34423799999999993</v>
      </c>
      <c r="M34" s="294"/>
      <c r="N34" s="294"/>
      <c r="O34" s="294">
        <v>0.29887200000000008</v>
      </c>
      <c r="P34" s="297">
        <f>0.066*(P30-100)/10</f>
        <v>-0.66</v>
      </c>
      <c r="Q34" s="297">
        <f>0.066*(Q30-100)/10</f>
        <v>-0.66</v>
      </c>
      <c r="R34" s="260"/>
      <c r="S34" s="259">
        <f>S9/2</f>
        <v>2.4408496695333635</v>
      </c>
      <c r="T34" s="259"/>
    </row>
    <row r="35" spans="1:20" s="251" customFormat="1" ht="21.95" customHeight="1">
      <c r="A35" s="232"/>
      <c r="B35" s="233" t="s">
        <v>849</v>
      </c>
      <c r="C35" s="232" t="s">
        <v>843</v>
      </c>
      <c r="D35" s="289">
        <f>6+3*2+4.56*1</f>
        <v>16.559999999999999</v>
      </c>
      <c r="E35" s="235">
        <f>SUM(F35:O35)</f>
        <v>80.819285999999991</v>
      </c>
      <c r="F35" s="290">
        <f>SUM(F31:F34)</f>
        <v>7</v>
      </c>
      <c r="G35" s="290">
        <f>SUM(G31:G34)</f>
        <v>8.7335560000000001</v>
      </c>
      <c r="H35" s="290">
        <f t="shared" ref="H35:O35" si="8">SUM(H31:H34)</f>
        <v>8.4753819999999997</v>
      </c>
      <c r="I35" s="290">
        <f t="shared" si="8"/>
        <v>8.4326559999999997</v>
      </c>
      <c r="J35" s="290">
        <f t="shared" si="8"/>
        <v>7.8778899999999998</v>
      </c>
      <c r="K35" s="290">
        <f t="shared" si="8"/>
        <v>8.469652</v>
      </c>
      <c r="L35" s="290">
        <f t="shared" si="8"/>
        <v>8.6942380000000004</v>
      </c>
      <c r="M35" s="290">
        <f t="shared" si="8"/>
        <v>7.4870400000000004</v>
      </c>
      <c r="N35" s="290">
        <f t="shared" si="8"/>
        <v>7</v>
      </c>
      <c r="O35" s="290">
        <f t="shared" si="8"/>
        <v>8.648871999999999</v>
      </c>
      <c r="P35" s="236"/>
      <c r="Q35" s="237"/>
      <c r="R35" s="238"/>
      <c r="S35" s="237"/>
      <c r="T35" s="237"/>
    </row>
    <row r="36" spans="1:20" s="265" customFormat="1" ht="26.25" customHeight="1">
      <c r="A36" s="218" t="s">
        <v>136</v>
      </c>
      <c r="B36" s="219" t="s">
        <v>875</v>
      </c>
      <c r="C36" s="227" t="s">
        <v>843</v>
      </c>
      <c r="D36" s="221">
        <v>19</v>
      </c>
      <c r="E36" s="228">
        <f>SUM(F36:O36)</f>
        <v>92.719999999999985</v>
      </c>
      <c r="F36" s="222">
        <f>F37</f>
        <v>7.32</v>
      </c>
      <c r="G36" s="222">
        <f t="shared" ref="G36:O36" si="9">G37</f>
        <v>12.2</v>
      </c>
      <c r="H36" s="222">
        <f t="shared" si="9"/>
        <v>7.32</v>
      </c>
      <c r="I36" s="222">
        <f t="shared" si="9"/>
        <v>7.32</v>
      </c>
      <c r="J36" s="222">
        <f t="shared" si="9"/>
        <v>7.32</v>
      </c>
      <c r="K36" s="222">
        <f t="shared" si="9"/>
        <v>12.2</v>
      </c>
      <c r="L36" s="222">
        <f t="shared" si="9"/>
        <v>12.2</v>
      </c>
      <c r="M36" s="222">
        <f t="shared" si="9"/>
        <v>7.32</v>
      </c>
      <c r="N36" s="222">
        <f t="shared" si="9"/>
        <v>7.32</v>
      </c>
      <c r="O36" s="222">
        <f t="shared" si="9"/>
        <v>12.2</v>
      </c>
      <c r="P36" s="236"/>
      <c r="Q36" s="216"/>
      <c r="R36" s="217">
        <f>D36*S9</f>
        <v>92.752287442267814</v>
      </c>
      <c r="S36" s="298"/>
      <c r="T36" s="216"/>
    </row>
    <row r="37" spans="1:20" s="251" customFormat="1" ht="21.95" customHeight="1">
      <c r="A37" s="232">
        <v>1</v>
      </c>
      <c r="B37" s="233" t="s">
        <v>876</v>
      </c>
      <c r="C37" s="232"/>
      <c r="D37" s="289" t="s">
        <v>315</v>
      </c>
      <c r="E37" s="235">
        <f>SUM(E38:E40)</f>
        <v>92.72</v>
      </c>
      <c r="F37" s="267">
        <f>F38+F39+F40</f>
        <v>7.32</v>
      </c>
      <c r="G37" s="267">
        <f t="shared" ref="G37:O37" si="10">G38+G39+G40</f>
        <v>12.2</v>
      </c>
      <c r="H37" s="267">
        <f t="shared" si="10"/>
        <v>7.32</v>
      </c>
      <c r="I37" s="267">
        <f t="shared" si="10"/>
        <v>7.32</v>
      </c>
      <c r="J37" s="267">
        <f t="shared" si="10"/>
        <v>7.32</v>
      </c>
      <c r="K37" s="267">
        <f t="shared" si="10"/>
        <v>12.2</v>
      </c>
      <c r="L37" s="267">
        <f t="shared" si="10"/>
        <v>12.2</v>
      </c>
      <c r="M37" s="267">
        <f t="shared" si="10"/>
        <v>7.32</v>
      </c>
      <c r="N37" s="267">
        <f t="shared" si="10"/>
        <v>7.32</v>
      </c>
      <c r="O37" s="267">
        <f t="shared" si="10"/>
        <v>12.2</v>
      </c>
      <c r="P37" s="236"/>
      <c r="Q37" s="237"/>
      <c r="R37" s="238"/>
      <c r="S37" s="237"/>
      <c r="T37" s="237"/>
    </row>
    <row r="38" spans="1:20" s="247" customFormat="1" ht="24.75" customHeight="1">
      <c r="A38" s="227"/>
      <c r="B38" s="299" t="s">
        <v>877</v>
      </c>
      <c r="C38" s="300" t="s">
        <v>843</v>
      </c>
      <c r="D38" s="227">
        <v>10</v>
      </c>
      <c r="E38" s="301">
        <f t="shared" ref="E38:E43" si="11">SUM(F38:O38)</f>
        <v>48.800000000000004</v>
      </c>
      <c r="F38" s="242">
        <v>4.88</v>
      </c>
      <c r="G38" s="242">
        <v>4.88</v>
      </c>
      <c r="H38" s="242">
        <v>4.88</v>
      </c>
      <c r="I38" s="242">
        <v>4.88</v>
      </c>
      <c r="J38" s="242">
        <v>4.88</v>
      </c>
      <c r="K38" s="242">
        <v>4.88</v>
      </c>
      <c r="L38" s="242">
        <v>4.88</v>
      </c>
      <c r="M38" s="242">
        <v>4.88</v>
      </c>
      <c r="N38" s="242">
        <v>4.88</v>
      </c>
      <c r="O38" s="242">
        <v>4.88</v>
      </c>
      <c r="P38" s="244"/>
      <c r="Q38" s="245"/>
      <c r="R38" s="246"/>
      <c r="S38" s="245"/>
      <c r="T38" s="245"/>
    </row>
    <row r="39" spans="1:20" s="247" customFormat="1" ht="21.95" customHeight="1">
      <c r="A39" s="227"/>
      <c r="B39" s="248" t="s">
        <v>878</v>
      </c>
      <c r="C39" s="300" t="s">
        <v>843</v>
      </c>
      <c r="D39" s="241">
        <v>5</v>
      </c>
      <c r="E39" s="242">
        <f t="shared" si="11"/>
        <v>24.400000000000002</v>
      </c>
      <c r="F39" s="242">
        <v>2.44</v>
      </c>
      <c r="G39" s="242">
        <v>2.44</v>
      </c>
      <c r="H39" s="242">
        <v>2.44</v>
      </c>
      <c r="I39" s="242">
        <v>2.44</v>
      </c>
      <c r="J39" s="242">
        <v>2.44</v>
      </c>
      <c r="K39" s="242">
        <v>2.44</v>
      </c>
      <c r="L39" s="242">
        <v>2.44</v>
      </c>
      <c r="M39" s="242">
        <v>2.44</v>
      </c>
      <c r="N39" s="242">
        <v>2.44</v>
      </c>
      <c r="O39" s="242">
        <v>2.44</v>
      </c>
      <c r="P39" s="244"/>
      <c r="Q39" s="245"/>
      <c r="R39" s="246"/>
      <c r="S39" s="245" t="s">
        <v>315</v>
      </c>
      <c r="T39" s="245"/>
    </row>
    <row r="40" spans="1:20" s="247" customFormat="1" ht="21.95" customHeight="1">
      <c r="A40" s="227"/>
      <c r="B40" s="248" t="s">
        <v>879</v>
      </c>
      <c r="C40" s="300" t="s">
        <v>843</v>
      </c>
      <c r="D40" s="241">
        <v>4</v>
      </c>
      <c r="E40" s="242">
        <f>SUM(F40:O40)</f>
        <v>19.52</v>
      </c>
      <c r="F40" s="267"/>
      <c r="G40" s="242">
        <v>4.88</v>
      </c>
      <c r="H40" s="301"/>
      <c r="I40" s="301"/>
      <c r="J40" s="301"/>
      <c r="K40" s="242">
        <v>4.88</v>
      </c>
      <c r="L40" s="242">
        <v>4.88</v>
      </c>
      <c r="M40" s="301"/>
      <c r="N40" s="301"/>
      <c r="O40" s="242">
        <v>4.88</v>
      </c>
      <c r="P40" s="244"/>
      <c r="Q40" s="245"/>
      <c r="R40" s="246" t="s">
        <v>315</v>
      </c>
      <c r="S40" s="245"/>
      <c r="T40" s="245"/>
    </row>
    <row r="41" spans="1:20" s="265" customFormat="1" ht="29.25" customHeight="1">
      <c r="A41" s="218" t="s">
        <v>138</v>
      </c>
      <c r="B41" s="219" t="s">
        <v>880</v>
      </c>
      <c r="C41" s="218"/>
      <c r="D41" s="221">
        <f>D42+D45</f>
        <v>8.6999999999999993</v>
      </c>
      <c r="E41" s="222">
        <f>SUM(F41:O41)</f>
        <v>42.470784249880523</v>
      </c>
      <c r="F41" s="222">
        <f t="shared" ref="F41:O41" si="12">F42+F46</f>
        <v>0</v>
      </c>
      <c r="G41" s="222">
        <f t="shared" si="12"/>
        <v>17.574117620640216</v>
      </c>
      <c r="H41" s="222">
        <f t="shared" si="12"/>
        <v>0</v>
      </c>
      <c r="I41" s="222">
        <f t="shared" si="12"/>
        <v>0</v>
      </c>
      <c r="J41" s="222">
        <f t="shared" si="12"/>
        <v>0</v>
      </c>
      <c r="K41" s="222">
        <f t="shared" si="12"/>
        <v>4.393529405160054</v>
      </c>
      <c r="L41" s="222">
        <f t="shared" si="12"/>
        <v>8.7870588103201079</v>
      </c>
      <c r="M41" s="222">
        <f t="shared" si="12"/>
        <v>0</v>
      </c>
      <c r="N41" s="222">
        <f t="shared" si="12"/>
        <v>0</v>
      </c>
      <c r="O41" s="222">
        <f t="shared" si="12"/>
        <v>11.716078413760144</v>
      </c>
      <c r="P41" s="229"/>
      <c r="Q41" s="216"/>
      <c r="R41" s="298">
        <f>D41*S9</f>
        <v>42.470784249880523</v>
      </c>
      <c r="S41" s="216"/>
      <c r="T41" s="216"/>
    </row>
    <row r="42" spans="1:20" s="251" customFormat="1" ht="21.95" customHeight="1">
      <c r="A42" s="232">
        <v>1</v>
      </c>
      <c r="B42" s="233" t="s">
        <v>881</v>
      </c>
      <c r="C42" s="232" t="s">
        <v>843</v>
      </c>
      <c r="D42" s="289">
        <v>8.6999999999999993</v>
      </c>
      <c r="E42" s="267">
        <f>SUM(F42:O42)</f>
        <v>42.470784249880523</v>
      </c>
      <c r="F42" s="267">
        <f>F43</f>
        <v>0</v>
      </c>
      <c r="G42" s="267">
        <f>G44</f>
        <v>17.574117620640216</v>
      </c>
      <c r="H42" s="267">
        <f t="shared" ref="H42:O42" si="13">H44</f>
        <v>0</v>
      </c>
      <c r="I42" s="267">
        <f t="shared" si="13"/>
        <v>0</v>
      </c>
      <c r="J42" s="267">
        <f t="shared" si="13"/>
        <v>0</v>
      </c>
      <c r="K42" s="267">
        <f t="shared" si="13"/>
        <v>4.393529405160054</v>
      </c>
      <c r="L42" s="267">
        <f t="shared" si="13"/>
        <v>8.7870588103201079</v>
      </c>
      <c r="M42" s="267">
        <f t="shared" si="13"/>
        <v>0</v>
      </c>
      <c r="N42" s="267">
        <f t="shared" si="13"/>
        <v>0</v>
      </c>
      <c r="O42" s="267">
        <f t="shared" si="13"/>
        <v>11.716078413760144</v>
      </c>
      <c r="P42" s="236"/>
      <c r="Q42" s="237"/>
      <c r="R42" s="260">
        <f>D42*S9</f>
        <v>42.470784249880523</v>
      </c>
      <c r="S42" s="237"/>
      <c r="T42" s="237"/>
    </row>
    <row r="43" spans="1:20" s="247" customFormat="1" ht="21.95" customHeight="1">
      <c r="A43" s="227"/>
      <c r="B43" s="248" t="s">
        <v>882</v>
      </c>
      <c r="C43" s="227" t="s">
        <v>843</v>
      </c>
      <c r="D43" s="249"/>
      <c r="E43" s="301">
        <f t="shared" si="11"/>
        <v>29</v>
      </c>
      <c r="F43" s="243">
        <v>0</v>
      </c>
      <c r="G43" s="301">
        <v>12</v>
      </c>
      <c r="H43" s="243">
        <v>0</v>
      </c>
      <c r="I43" s="243">
        <v>0</v>
      </c>
      <c r="J43" s="243">
        <v>0</v>
      </c>
      <c r="K43" s="301">
        <v>3</v>
      </c>
      <c r="L43" s="301">
        <v>6</v>
      </c>
      <c r="M43" s="301">
        <v>0</v>
      </c>
      <c r="N43" s="301">
        <v>0</v>
      </c>
      <c r="O43" s="301">
        <v>8</v>
      </c>
      <c r="P43" s="244"/>
      <c r="Q43" s="245"/>
      <c r="R43" s="246"/>
      <c r="S43" s="245"/>
      <c r="T43" s="245"/>
    </row>
    <row r="44" spans="1:20" s="247" customFormat="1" ht="21.95" customHeight="1">
      <c r="A44" s="227"/>
      <c r="B44" s="248" t="s">
        <v>883</v>
      </c>
      <c r="C44" s="227" t="s">
        <v>843</v>
      </c>
      <c r="D44" s="249">
        <f>E44/29</f>
        <v>1.464509801720018</v>
      </c>
      <c r="E44" s="242">
        <f>SUM(F44:O44)</f>
        <v>42.470784249880523</v>
      </c>
      <c r="F44" s="301"/>
      <c r="G44" s="301">
        <f>12*S44</f>
        <v>17.574117620640216</v>
      </c>
      <c r="H44" s="301"/>
      <c r="I44" s="301"/>
      <c r="J44" s="301"/>
      <c r="K44" s="301">
        <f>3*S44</f>
        <v>4.393529405160054</v>
      </c>
      <c r="L44" s="301">
        <f>6*S44</f>
        <v>8.7870588103201079</v>
      </c>
      <c r="M44" s="301"/>
      <c r="N44" s="301"/>
      <c r="O44" s="301">
        <f>8*S44</f>
        <v>11.716078413760144</v>
      </c>
      <c r="P44" s="244"/>
      <c r="Q44" s="245"/>
      <c r="R44" s="246"/>
      <c r="S44" s="245">
        <f>S45/29</f>
        <v>1.464509801720018</v>
      </c>
      <c r="T44" s="245"/>
    </row>
    <row r="45" spans="1:20" s="251" customFormat="1" ht="33" hidden="1" customHeight="1">
      <c r="A45" s="232">
        <v>2</v>
      </c>
      <c r="B45" s="302" t="s">
        <v>884</v>
      </c>
      <c r="C45" s="232"/>
      <c r="D45" s="289"/>
      <c r="E45" s="290"/>
      <c r="F45" s="290"/>
      <c r="G45" s="290"/>
      <c r="H45" s="290"/>
      <c r="I45" s="290"/>
      <c r="J45" s="290"/>
      <c r="K45" s="290"/>
      <c r="L45" s="290"/>
      <c r="M45" s="290"/>
      <c r="N45" s="290"/>
      <c r="O45" s="267"/>
      <c r="P45" s="236"/>
      <c r="Q45" s="237"/>
      <c r="R45" s="303">
        <f>R41-R42</f>
        <v>0</v>
      </c>
      <c r="S45" s="303">
        <f>R41-R45</f>
        <v>42.470784249880523</v>
      </c>
      <c r="T45" s="237"/>
    </row>
    <row r="46" spans="1:20" s="247" customFormat="1" ht="26.1" hidden="1" customHeight="1">
      <c r="A46" s="227"/>
      <c r="B46" s="248" t="s">
        <v>885</v>
      </c>
      <c r="C46" s="227" t="s">
        <v>843</v>
      </c>
      <c r="D46" s="249"/>
      <c r="E46" s="242">
        <f>F46</f>
        <v>0</v>
      </c>
      <c r="F46" s="301"/>
      <c r="G46" s="243"/>
      <c r="H46" s="243"/>
      <c r="I46" s="243"/>
      <c r="J46" s="243"/>
      <c r="K46" s="243"/>
      <c r="L46" s="243"/>
      <c r="M46" s="243"/>
      <c r="N46" s="243"/>
      <c r="O46" s="243"/>
      <c r="P46" s="244"/>
      <c r="Q46" s="245"/>
      <c r="R46" s="246"/>
      <c r="S46" s="245"/>
      <c r="T46" s="245"/>
    </row>
    <row r="47" spans="1:20" s="309" customFormat="1" ht="42" hidden="1" customHeight="1">
      <c r="A47" s="218" t="s">
        <v>183</v>
      </c>
      <c r="B47" s="304" t="s">
        <v>886</v>
      </c>
      <c r="C47" s="219"/>
      <c r="D47" s="305"/>
      <c r="E47" s="264">
        <v>602300</v>
      </c>
      <c r="F47" s="235">
        <f>E47/100*110</f>
        <v>662530</v>
      </c>
      <c r="G47" s="235">
        <f>F47/100*110</f>
        <v>728783</v>
      </c>
      <c r="H47" s="235">
        <f>G47/100*110</f>
        <v>801661.3</v>
      </c>
      <c r="I47" s="235">
        <f>H47/100*110</f>
        <v>881827.43</v>
      </c>
      <c r="J47" s="235">
        <f>SUM(E47:I47)</f>
        <v>3677101.73</v>
      </c>
      <c r="K47" s="235">
        <v>3459392</v>
      </c>
      <c r="L47" s="264">
        <f>K47-K48-K52</f>
        <v>3068637</v>
      </c>
      <c r="M47" s="264"/>
      <c r="N47" s="264"/>
      <c r="O47" s="264"/>
      <c r="P47" s="306"/>
      <c r="Q47" s="307"/>
      <c r="R47" s="308"/>
      <c r="S47" s="307"/>
      <c r="T47" s="307"/>
    </row>
    <row r="48" spans="1:20" s="313" customFormat="1" ht="30" hidden="1" customHeight="1">
      <c r="A48" s="232">
        <v>1</v>
      </c>
      <c r="B48" s="233" t="s">
        <v>887</v>
      </c>
      <c r="C48" s="232" t="s">
        <v>888</v>
      </c>
      <c r="D48" s="232"/>
      <c r="E48" s="235">
        <v>84594</v>
      </c>
      <c r="F48" s="235">
        <f>E48</f>
        <v>84594</v>
      </c>
      <c r="G48" s="235">
        <f>F48</f>
        <v>84594</v>
      </c>
      <c r="H48" s="235">
        <f>G48-10000</f>
        <v>74594</v>
      </c>
      <c r="I48" s="235">
        <f>H48-10062</f>
        <v>64532</v>
      </c>
      <c r="J48" s="235">
        <f>312908+80000</f>
        <v>392908</v>
      </c>
      <c r="K48" s="235">
        <v>312908</v>
      </c>
      <c r="L48" s="235"/>
      <c r="M48" s="268"/>
      <c r="N48" s="268"/>
      <c r="O48" s="235"/>
      <c r="P48" s="310"/>
      <c r="Q48" s="311"/>
      <c r="R48" s="312"/>
      <c r="S48" s="311"/>
      <c r="T48" s="311"/>
    </row>
    <row r="49" spans="1:20" s="313" customFormat="1" ht="28.5" hidden="1" customHeight="1">
      <c r="A49" s="232">
        <v>2</v>
      </c>
      <c r="B49" s="233" t="s">
        <v>169</v>
      </c>
      <c r="C49" s="232" t="s">
        <v>888</v>
      </c>
      <c r="D49" s="314">
        <v>0.02</v>
      </c>
      <c r="E49" s="235">
        <v>10353</v>
      </c>
      <c r="F49" s="235">
        <f>E49/100*110</f>
        <v>11388.3</v>
      </c>
      <c r="G49" s="235">
        <f>F49/100*110</f>
        <v>12527.13</v>
      </c>
      <c r="H49" s="235">
        <f>G49/100*110</f>
        <v>13779.842999999999</v>
      </c>
      <c r="I49" s="235">
        <f>H49/100*110</f>
        <v>15157.827299999999</v>
      </c>
      <c r="J49" s="235">
        <f>SUM(E49:I49)</f>
        <v>63206.100299999998</v>
      </c>
      <c r="K49" s="235"/>
      <c r="L49" s="268" t="s">
        <v>315</v>
      </c>
      <c r="M49" s="268"/>
      <c r="N49" s="268"/>
      <c r="O49" s="235"/>
      <c r="P49" s="310"/>
      <c r="Q49" s="311"/>
      <c r="R49" s="312"/>
      <c r="S49" s="311"/>
      <c r="T49" s="311"/>
    </row>
    <row r="50" spans="1:20" s="313" customFormat="1" ht="27.75" hidden="1" customHeight="1">
      <c r="A50" s="232">
        <v>3</v>
      </c>
      <c r="B50" s="233" t="s">
        <v>889</v>
      </c>
      <c r="C50" s="232" t="s">
        <v>888</v>
      </c>
      <c r="D50" s="314">
        <v>0.05</v>
      </c>
      <c r="E50" s="235">
        <f>E47*D50</f>
        <v>30115</v>
      </c>
      <c r="F50" s="235">
        <f t="shared" ref="F50:I54" si="14">E50/100*110</f>
        <v>33126.5</v>
      </c>
      <c r="G50" s="235">
        <f t="shared" si="14"/>
        <v>36439.15</v>
      </c>
      <c r="H50" s="235">
        <f t="shared" si="14"/>
        <v>40083.065000000002</v>
      </c>
      <c r="I50" s="235">
        <f t="shared" si="14"/>
        <v>44091.371500000008</v>
      </c>
      <c r="J50" s="235">
        <f>SUM(E50:I50)</f>
        <v>183855.0865</v>
      </c>
      <c r="K50" s="235">
        <f>L47/100*5</f>
        <v>153431.85</v>
      </c>
      <c r="L50" s="235">
        <f>L47/100*5</f>
        <v>153431.85</v>
      </c>
      <c r="M50" s="235"/>
      <c r="N50" s="235"/>
      <c r="O50" s="235">
        <f>L50-K50</f>
        <v>0</v>
      </c>
      <c r="P50" s="310"/>
      <c r="Q50" s="311"/>
      <c r="R50" s="312"/>
      <c r="S50" s="311"/>
      <c r="T50" s="311"/>
    </row>
    <row r="51" spans="1:20" s="313" customFormat="1" ht="32.25" hidden="1" customHeight="1">
      <c r="A51" s="232">
        <v>4</v>
      </c>
      <c r="B51" s="233" t="s">
        <v>890</v>
      </c>
      <c r="C51" s="232" t="s">
        <v>888</v>
      </c>
      <c r="D51" s="314"/>
      <c r="E51" s="235">
        <v>9010</v>
      </c>
      <c r="F51" s="235">
        <f t="shared" si="14"/>
        <v>9911</v>
      </c>
      <c r="G51" s="235">
        <f t="shared" si="14"/>
        <v>10902.1</v>
      </c>
      <c r="H51" s="235">
        <f t="shared" si="14"/>
        <v>11992.31</v>
      </c>
      <c r="I51" s="235">
        <f t="shared" si="14"/>
        <v>13191.540999999999</v>
      </c>
      <c r="J51" s="235">
        <f>SUM(E51:I51)</f>
        <v>55006.950999999994</v>
      </c>
      <c r="K51" s="235">
        <v>54722</v>
      </c>
      <c r="L51" s="268">
        <f>E51/E47*100</f>
        <v>1.4959322596712601</v>
      </c>
      <c r="M51" s="268"/>
      <c r="N51" s="268"/>
      <c r="O51" s="235"/>
      <c r="P51" s="306"/>
      <c r="Q51" s="311"/>
      <c r="R51" s="312"/>
      <c r="S51" s="311"/>
      <c r="T51" s="311"/>
    </row>
    <row r="52" spans="1:20" s="313" customFormat="1" ht="30" hidden="1" customHeight="1">
      <c r="A52" s="232">
        <v>5</v>
      </c>
      <c r="B52" s="233" t="s">
        <v>891</v>
      </c>
      <c r="C52" s="232" t="s">
        <v>888</v>
      </c>
      <c r="D52" s="314"/>
      <c r="E52" s="235">
        <v>12750</v>
      </c>
      <c r="F52" s="235">
        <f t="shared" si="14"/>
        <v>14025</v>
      </c>
      <c r="G52" s="235">
        <f t="shared" si="14"/>
        <v>15427.5</v>
      </c>
      <c r="H52" s="235">
        <f t="shared" si="14"/>
        <v>16970.25</v>
      </c>
      <c r="I52" s="235">
        <f t="shared" si="14"/>
        <v>18667.274999999998</v>
      </c>
      <c r="J52" s="235">
        <v>77847</v>
      </c>
      <c r="K52" s="235">
        <f>J52</f>
        <v>77847</v>
      </c>
      <c r="L52" s="268"/>
      <c r="M52" s="268"/>
      <c r="N52" s="268"/>
      <c r="O52" s="235"/>
      <c r="P52" s="306"/>
      <c r="Q52" s="311"/>
      <c r="R52" s="312"/>
      <c r="S52" s="311"/>
      <c r="T52" s="311"/>
    </row>
    <row r="53" spans="1:20" s="313" customFormat="1" ht="37.5" hidden="1" customHeight="1">
      <c r="A53" s="232">
        <v>6</v>
      </c>
      <c r="B53" s="315" t="s">
        <v>892</v>
      </c>
      <c r="C53" s="232" t="s">
        <v>888</v>
      </c>
      <c r="D53" s="314">
        <v>0.2</v>
      </c>
      <c r="E53" s="235">
        <f>E47*D53</f>
        <v>120460</v>
      </c>
      <c r="F53" s="235">
        <f t="shared" si="14"/>
        <v>132506</v>
      </c>
      <c r="G53" s="235">
        <f t="shared" si="14"/>
        <v>145756.6</v>
      </c>
      <c r="H53" s="235">
        <f t="shared" si="14"/>
        <v>160332.26</v>
      </c>
      <c r="I53" s="235">
        <f t="shared" si="14"/>
        <v>176365.48600000003</v>
      </c>
      <c r="J53" s="235">
        <f>SUM(E53:I53)</f>
        <v>735420.34600000002</v>
      </c>
      <c r="K53" s="235">
        <f>L47/100*20</f>
        <v>613727.4</v>
      </c>
      <c r="L53" s="268"/>
      <c r="M53" s="268"/>
      <c r="N53" s="268"/>
      <c r="O53" s="235"/>
      <c r="P53" s="310"/>
      <c r="Q53" s="311"/>
      <c r="R53" s="312"/>
      <c r="S53" s="311"/>
      <c r="T53" s="311"/>
    </row>
    <row r="54" spans="1:20" s="313" customFormat="1" ht="30.75" hidden="1" customHeight="1">
      <c r="A54" s="232">
        <v>7</v>
      </c>
      <c r="B54" s="315" t="s">
        <v>893</v>
      </c>
      <c r="C54" s="232" t="s">
        <v>888</v>
      </c>
      <c r="D54" s="314">
        <v>0.1</v>
      </c>
      <c r="E54" s="235">
        <f>E47*10%</f>
        <v>60230</v>
      </c>
      <c r="F54" s="235">
        <f t="shared" si="14"/>
        <v>66253</v>
      </c>
      <c r="G54" s="235">
        <f t="shared" si="14"/>
        <v>72878.3</v>
      </c>
      <c r="H54" s="235">
        <f t="shared" si="14"/>
        <v>80166.13</v>
      </c>
      <c r="I54" s="235">
        <f t="shared" si="14"/>
        <v>88182.743000000017</v>
      </c>
      <c r="J54" s="235">
        <f>SUM(E54:I54)+15</f>
        <v>367725.17300000001</v>
      </c>
      <c r="K54" s="235"/>
      <c r="L54" s="268"/>
      <c r="M54" s="268"/>
      <c r="N54" s="268"/>
      <c r="O54" s="235"/>
      <c r="P54" s="310"/>
      <c r="Q54" s="311"/>
      <c r="R54" s="311"/>
      <c r="S54" s="311"/>
      <c r="T54" s="311"/>
    </row>
    <row r="55" spans="1:20" s="313" customFormat="1" ht="33" hidden="1" customHeight="1">
      <c r="A55" s="232"/>
      <c r="B55" s="316" t="s">
        <v>894</v>
      </c>
      <c r="C55" s="232"/>
      <c r="D55" s="314"/>
      <c r="E55" s="235">
        <f t="shared" ref="E55:J55" si="15">E48+E49+E50+E51+E52+E53+E54</f>
        <v>327512</v>
      </c>
      <c r="F55" s="235">
        <f t="shared" si="15"/>
        <v>351803.8</v>
      </c>
      <c r="G55" s="235">
        <f t="shared" si="15"/>
        <v>378524.77999999997</v>
      </c>
      <c r="H55" s="235">
        <f t="shared" si="15"/>
        <v>397917.85800000001</v>
      </c>
      <c r="I55" s="235">
        <f t="shared" si="15"/>
        <v>420188.24380000005</v>
      </c>
      <c r="J55" s="235">
        <f t="shared" si="15"/>
        <v>1875968.6568</v>
      </c>
      <c r="K55" s="235">
        <f>SUM(K48:K54)</f>
        <v>1212636.25</v>
      </c>
      <c r="L55" s="268"/>
      <c r="M55" s="268"/>
      <c r="N55" s="268"/>
      <c r="O55" s="235"/>
      <c r="P55" s="310"/>
      <c r="Q55" s="311"/>
      <c r="R55" s="311"/>
      <c r="S55" s="311"/>
      <c r="T55" s="311"/>
    </row>
    <row r="56" spans="1:20" s="313" customFormat="1" ht="42" hidden="1" customHeight="1">
      <c r="A56" s="232"/>
      <c r="B56" s="316" t="s">
        <v>895</v>
      </c>
      <c r="C56" s="232"/>
      <c r="D56" s="314"/>
      <c r="E56" s="235">
        <f>E55*(1+(1.1+1.1^2+1.1^3+1.1^4))</f>
        <v>1999493.5112000003</v>
      </c>
      <c r="F56" s="235">
        <f>F55*(1+(1.1+1.1^2+1.1^3+1.1^4))</f>
        <v>2147797.3793800003</v>
      </c>
      <c r="G56" s="235">
        <f>G55*(1+(1.1+1.1^2+1.1^3+1.1^4))</f>
        <v>2310931.6343780002</v>
      </c>
      <c r="H56" s="235">
        <f>H55*(1+(1.1+1.1^2+1.1^3+1.1^4))</f>
        <v>2429328.3148758006</v>
      </c>
      <c r="I56" s="235">
        <f>I55*(1+(1.1+1.1^2+1.1^3+1.1^4))</f>
        <v>2565291.247223381</v>
      </c>
      <c r="J56" s="235">
        <f>E66+J55</f>
        <v>5478235.0406654123</v>
      </c>
      <c r="K56" s="235">
        <f>K47-K55</f>
        <v>2246755.75</v>
      </c>
      <c r="L56" s="268"/>
      <c r="M56" s="268"/>
      <c r="N56" s="268"/>
      <c r="O56" s="235"/>
      <c r="P56" s="310"/>
      <c r="Q56" s="311"/>
      <c r="R56" s="311"/>
      <c r="S56" s="311"/>
      <c r="T56" s="311"/>
    </row>
    <row r="57" spans="1:20" s="313" customFormat="1" ht="31.5" hidden="1" customHeight="1">
      <c r="A57" s="232">
        <v>8</v>
      </c>
      <c r="B57" s="233" t="s">
        <v>896</v>
      </c>
      <c r="C57" s="233"/>
      <c r="D57" s="232"/>
      <c r="E57" s="235">
        <f t="shared" ref="E57:J57" si="16">E47-E55</f>
        <v>274788</v>
      </c>
      <c r="F57" s="235">
        <f t="shared" si="16"/>
        <v>310726.2</v>
      </c>
      <c r="G57" s="235">
        <f t="shared" si="16"/>
        <v>350258.22000000003</v>
      </c>
      <c r="H57" s="235">
        <f t="shared" si="16"/>
        <v>403743.44200000004</v>
      </c>
      <c r="I57" s="235">
        <f t="shared" si="16"/>
        <v>461639.1862</v>
      </c>
      <c r="J57" s="235">
        <f t="shared" si="16"/>
        <v>1801133.0732</v>
      </c>
      <c r="K57" s="235">
        <f>SUM(E57:I57)</f>
        <v>1801155.0482000001</v>
      </c>
      <c r="L57" s="235"/>
      <c r="M57" s="235"/>
      <c r="N57" s="235"/>
      <c r="O57" s="235"/>
      <c r="P57" s="306"/>
      <c r="Q57" s="311"/>
      <c r="R57" s="311"/>
      <c r="S57" s="311"/>
      <c r="T57" s="311"/>
    </row>
    <row r="58" spans="1:20" s="319" customFormat="1" ht="21.95" hidden="1" customHeight="1">
      <c r="A58" s="227" t="s">
        <v>897</v>
      </c>
      <c r="B58" s="248" t="s">
        <v>898</v>
      </c>
      <c r="C58" s="227" t="s">
        <v>843</v>
      </c>
      <c r="D58" s="249">
        <f>D9</f>
        <v>102.42335</v>
      </c>
      <c r="E58" s="301">
        <f>SUM(F58:O58)</f>
        <v>500.00118829718133</v>
      </c>
      <c r="F58" s="242">
        <f t="shared" ref="F58:O58" si="17">F9</f>
        <v>78.397180383434943</v>
      </c>
      <c r="G58" s="242">
        <f t="shared" si="17"/>
        <v>82.902420342199775</v>
      </c>
      <c r="H58" s="242">
        <f t="shared" si="17"/>
        <v>41.12290742503334</v>
      </c>
      <c r="I58" s="242">
        <f t="shared" si="17"/>
        <v>49.418071043663929</v>
      </c>
      <c r="J58" s="242">
        <f t="shared" si="17"/>
        <v>39.713818105626693</v>
      </c>
      <c r="K58" s="242">
        <f t="shared" si="17"/>
        <v>47.373733993044901</v>
      </c>
      <c r="L58" s="242">
        <f t="shared" si="17"/>
        <v>50.360589013641317</v>
      </c>
      <c r="M58" s="242">
        <f t="shared" si="17"/>
        <v>36.800978395590704</v>
      </c>
      <c r="N58" s="242">
        <f t="shared" si="17"/>
        <v>20.257736675785068</v>
      </c>
      <c r="O58" s="242">
        <f t="shared" si="17"/>
        <v>53.653752919160624</v>
      </c>
      <c r="P58" s="317"/>
      <c r="Q58" s="318"/>
      <c r="R58" s="318"/>
      <c r="S58" s="318"/>
      <c r="T58" s="318"/>
    </row>
    <row r="59" spans="1:20" s="322" customFormat="1" ht="21.95" hidden="1" customHeight="1">
      <c r="A59" s="254"/>
      <c r="B59" s="233" t="s">
        <v>899</v>
      </c>
      <c r="C59" s="254" t="s">
        <v>854</v>
      </c>
      <c r="D59" s="254" t="s">
        <v>315</v>
      </c>
      <c r="E59" s="256"/>
      <c r="F59" s="320">
        <f>F58/$E$58*100</f>
        <v>15.67939881311616</v>
      </c>
      <c r="G59" s="320">
        <f t="shared" ref="G59:O59" si="18">G58/$E$58*100</f>
        <v>16.580444663448638</v>
      </c>
      <c r="H59" s="320">
        <f t="shared" si="18"/>
        <v>8.2245619385591304</v>
      </c>
      <c r="I59" s="320">
        <f t="shared" si="18"/>
        <v>9.8835907194467989</v>
      </c>
      <c r="J59" s="320">
        <f t="shared" si="18"/>
        <v>7.9427447444429546</v>
      </c>
      <c r="K59" s="320">
        <f t="shared" si="18"/>
        <v>9.4747242810326657</v>
      </c>
      <c r="L59" s="320">
        <f t="shared" si="18"/>
        <v>10.072093865446764</v>
      </c>
      <c r="M59" s="320">
        <f t="shared" si="18"/>
        <v>7.3601781869601535</v>
      </c>
      <c r="N59" s="320">
        <f t="shared" si="18"/>
        <v>4.0515377062953402</v>
      </c>
      <c r="O59" s="320">
        <f t="shared" si="18"/>
        <v>10.730725081251389</v>
      </c>
      <c r="P59" s="306"/>
      <c r="Q59" s="321"/>
      <c r="R59" s="321"/>
      <c r="S59" s="321"/>
      <c r="T59" s="321"/>
    </row>
    <row r="60" spans="1:20" s="324" customFormat="1" ht="20.45" hidden="1" customHeight="1">
      <c r="A60" s="227" t="s">
        <v>900</v>
      </c>
      <c r="B60" s="248" t="s">
        <v>901</v>
      </c>
      <c r="C60" s="227" t="s">
        <v>888</v>
      </c>
      <c r="D60" s="227"/>
      <c r="E60" s="323">
        <f>SUM(F60:O60)</f>
        <v>274788</v>
      </c>
      <c r="F60" s="243">
        <f>$E57*F59%</f>
        <v>43085.106410585635</v>
      </c>
      <c r="G60" s="243">
        <f t="shared" ref="G60:O60" si="19">$E57*G59%</f>
        <v>45561.072281797242</v>
      </c>
      <c r="H60" s="243">
        <f t="shared" si="19"/>
        <v>22600.109259727862</v>
      </c>
      <c r="I60" s="243">
        <f t="shared" si="19"/>
        <v>27158.921266153469</v>
      </c>
      <c r="J60" s="243">
        <f t="shared" si="19"/>
        <v>21825.709428359907</v>
      </c>
      <c r="K60" s="243">
        <f t="shared" si="19"/>
        <v>26035.405357364041</v>
      </c>
      <c r="L60" s="243">
        <f t="shared" si="19"/>
        <v>27676.905290983854</v>
      </c>
      <c r="M60" s="243">
        <f t="shared" si="19"/>
        <v>20224.886436384066</v>
      </c>
      <c r="N60" s="243">
        <f t="shared" si="19"/>
        <v>11133.139432374841</v>
      </c>
      <c r="O60" s="243">
        <f t="shared" si="19"/>
        <v>29486.74483626907</v>
      </c>
      <c r="P60" s="317"/>
      <c r="Q60" s="318"/>
      <c r="R60" s="318"/>
      <c r="S60" s="318"/>
      <c r="T60" s="318"/>
    </row>
    <row r="61" spans="1:20" s="322" customFormat="1" ht="21.95" hidden="1" customHeight="1">
      <c r="A61" s="254"/>
      <c r="B61" s="325" t="s">
        <v>902</v>
      </c>
      <c r="C61" s="254"/>
      <c r="D61" s="254"/>
      <c r="E61" s="326">
        <f>SUM(F61:O61)</f>
        <v>312090.47100000002</v>
      </c>
      <c r="F61" s="326">
        <f>F60*1.13575</f>
        <v>48933.909605822635</v>
      </c>
      <c r="G61" s="326">
        <f t="shared" ref="G61:O64" si="20">G60*1.13575</f>
        <v>51745.987844051218</v>
      </c>
      <c r="H61" s="326">
        <f t="shared" si="20"/>
        <v>25668.074091735922</v>
      </c>
      <c r="I61" s="326">
        <f t="shared" si="20"/>
        <v>30845.744828033803</v>
      </c>
      <c r="J61" s="326">
        <f t="shared" si="20"/>
        <v>24788.549483259765</v>
      </c>
      <c r="K61" s="326">
        <f t="shared" si="20"/>
        <v>29569.711634626212</v>
      </c>
      <c r="L61" s="326">
        <f t="shared" si="20"/>
        <v>31434.045184234914</v>
      </c>
      <c r="M61" s="326">
        <f t="shared" si="20"/>
        <v>22970.414770123203</v>
      </c>
      <c r="N61" s="326">
        <f t="shared" si="20"/>
        <v>12644.463110319726</v>
      </c>
      <c r="O61" s="326">
        <f t="shared" si="20"/>
        <v>33489.570447792597</v>
      </c>
      <c r="P61" s="306"/>
      <c r="Q61" s="321"/>
      <c r="R61" s="321"/>
      <c r="S61" s="321"/>
      <c r="T61" s="321"/>
    </row>
    <row r="62" spans="1:20" s="322" customFormat="1" ht="21.95" hidden="1" customHeight="1">
      <c r="A62" s="254"/>
      <c r="B62" s="325" t="s">
        <v>903</v>
      </c>
      <c r="C62" s="254"/>
      <c r="D62" s="254"/>
      <c r="E62" s="326">
        <f>SUM(F62:O62)</f>
        <v>354456.75243824994</v>
      </c>
      <c r="F62" s="326">
        <f>F61*1.13575</f>
        <v>55576.687834813063</v>
      </c>
      <c r="G62" s="326">
        <f t="shared" si="20"/>
        <v>58770.505693881176</v>
      </c>
      <c r="H62" s="326">
        <f t="shared" si="20"/>
        <v>29152.515149689076</v>
      </c>
      <c r="I62" s="326">
        <f t="shared" si="20"/>
        <v>35033.054688439392</v>
      </c>
      <c r="J62" s="326">
        <f t="shared" si="20"/>
        <v>28153.59507561228</v>
      </c>
      <c r="K62" s="326">
        <f t="shared" si="20"/>
        <v>33583.799989026724</v>
      </c>
      <c r="L62" s="326">
        <f t="shared" si="20"/>
        <v>35701.216817994806</v>
      </c>
      <c r="M62" s="326">
        <f t="shared" si="20"/>
        <v>26088.64857516743</v>
      </c>
      <c r="N62" s="326">
        <f t="shared" si="20"/>
        <v>14360.94897754563</v>
      </c>
      <c r="O62" s="326">
        <f t="shared" si="20"/>
        <v>38035.779636080442</v>
      </c>
      <c r="P62" s="306"/>
      <c r="Q62" s="321"/>
      <c r="R62" s="321"/>
      <c r="S62" s="321"/>
      <c r="T62" s="321"/>
    </row>
    <row r="63" spans="1:20" s="322" customFormat="1" ht="21.95" hidden="1" customHeight="1">
      <c r="A63" s="254"/>
      <c r="B63" s="325" t="s">
        <v>904</v>
      </c>
      <c r="C63" s="254"/>
      <c r="D63" s="254"/>
      <c r="E63" s="326">
        <f>SUM(F63:O63)</f>
        <v>402574.25658174249</v>
      </c>
      <c r="F63" s="326">
        <f>F62*1.13575</f>
        <v>63121.223208388939</v>
      </c>
      <c r="G63" s="326">
        <f t="shared" si="20"/>
        <v>66748.601841825541</v>
      </c>
      <c r="H63" s="326">
        <f t="shared" si="20"/>
        <v>33109.969081259369</v>
      </c>
      <c r="I63" s="326">
        <f t="shared" si="20"/>
        <v>39788.791862395039</v>
      </c>
      <c r="J63" s="326">
        <f t="shared" si="20"/>
        <v>31975.445607126647</v>
      </c>
      <c r="K63" s="326">
        <f t="shared" si="20"/>
        <v>38142.800837537106</v>
      </c>
      <c r="L63" s="326">
        <f t="shared" si="20"/>
        <v>40547.657001037602</v>
      </c>
      <c r="M63" s="326">
        <f t="shared" si="20"/>
        <v>29630.18261924641</v>
      </c>
      <c r="N63" s="326">
        <f t="shared" si="20"/>
        <v>16310.44780124745</v>
      </c>
      <c r="O63" s="326">
        <f t="shared" si="20"/>
        <v>43199.136721678362</v>
      </c>
      <c r="P63" s="306"/>
      <c r="Q63" s="321"/>
      <c r="R63" s="321"/>
      <c r="S63" s="321"/>
      <c r="T63" s="321"/>
    </row>
    <row r="64" spans="1:20" s="322" customFormat="1" ht="21.95" hidden="1" customHeight="1">
      <c r="A64" s="254"/>
      <c r="B64" s="325" t="s">
        <v>905</v>
      </c>
      <c r="C64" s="254"/>
      <c r="D64" s="254"/>
      <c r="E64" s="326">
        <f>SUM(F64:O64)</f>
        <v>457223.711912714</v>
      </c>
      <c r="F64" s="326">
        <f>F63*1.13575</f>
        <v>71689.929258927747</v>
      </c>
      <c r="G64" s="326">
        <f t="shared" si="20"/>
        <v>75809.724541853357</v>
      </c>
      <c r="H64" s="326">
        <f t="shared" si="20"/>
        <v>37604.647384040327</v>
      </c>
      <c r="I64" s="326">
        <f t="shared" si="20"/>
        <v>45190.120357715168</v>
      </c>
      <c r="J64" s="326">
        <f t="shared" si="20"/>
        <v>36316.112348294089</v>
      </c>
      <c r="K64" s="326">
        <f t="shared" si="20"/>
        <v>43320.686051232769</v>
      </c>
      <c r="L64" s="326">
        <f t="shared" si="20"/>
        <v>46052.001438928455</v>
      </c>
      <c r="M64" s="326">
        <f t="shared" si="20"/>
        <v>33652.47990980911</v>
      </c>
      <c r="N64" s="326">
        <f t="shared" si="20"/>
        <v>18524.591090266793</v>
      </c>
      <c r="O64" s="326">
        <f t="shared" si="20"/>
        <v>49063.419531646199</v>
      </c>
      <c r="P64" s="306"/>
      <c r="Q64" s="321"/>
      <c r="R64" s="321"/>
      <c r="S64" s="321"/>
      <c r="T64" s="321"/>
    </row>
    <row r="65" spans="1:20" s="313" customFormat="1" ht="21.95" hidden="1" customHeight="1">
      <c r="A65" s="232"/>
      <c r="B65" s="226" t="s">
        <v>906</v>
      </c>
      <c r="C65" s="232"/>
      <c r="D65" s="232"/>
      <c r="E65" s="235">
        <f>SUM(E60:E64)</f>
        <v>1801133.1919327064</v>
      </c>
      <c r="F65" s="235">
        <f t="shared" ref="F65:O65" si="21">SUM(F60:F64)</f>
        <v>282406.85631853802</v>
      </c>
      <c r="G65" s="235">
        <f t="shared" si="21"/>
        <v>298635.89220340853</v>
      </c>
      <c r="H65" s="235">
        <f t="shared" si="21"/>
        <v>148135.31496645254</v>
      </c>
      <c r="I65" s="235">
        <f>SUM(I60:I64)</f>
        <v>178016.63300273687</v>
      </c>
      <c r="J65" s="235">
        <f t="shared" si="21"/>
        <v>143059.41194265269</v>
      </c>
      <c r="K65" s="235">
        <f t="shared" si="21"/>
        <v>170652.40386978685</v>
      </c>
      <c r="L65" s="235">
        <f t="shared" si="21"/>
        <v>181411.8257331796</v>
      </c>
      <c r="M65" s="235">
        <f t="shared" si="21"/>
        <v>132566.61231073021</v>
      </c>
      <c r="N65" s="235">
        <f t="shared" si="21"/>
        <v>72973.590411754441</v>
      </c>
      <c r="O65" s="235">
        <f t="shared" si="21"/>
        <v>193274.6511734667</v>
      </c>
      <c r="P65" s="327"/>
      <c r="Q65" s="311"/>
      <c r="R65" s="311"/>
      <c r="S65" s="311"/>
      <c r="T65" s="311"/>
    </row>
    <row r="66" spans="1:20" s="309" customFormat="1" ht="29.25" hidden="1" customHeight="1">
      <c r="A66" s="218"/>
      <c r="B66" s="226" t="s">
        <v>906</v>
      </c>
      <c r="C66" s="232"/>
      <c r="D66" s="305"/>
      <c r="E66" s="264">
        <f>SUM(E60:E65)</f>
        <v>3602266.3838654128</v>
      </c>
      <c r="F66" s="235">
        <f>F60*(1+(1.1+1.1^2+1.1^3+1.1^4))</f>
        <v>263038.8831472664</v>
      </c>
      <c r="G66" s="235">
        <f t="shared" ref="G66:O66" si="22">G60*(1+(1.1+1.1^2+1.1^3+1.1^4))</f>
        <v>278154.90238760039</v>
      </c>
      <c r="H66" s="235">
        <f t="shared" si="22"/>
        <v>137975.9270415646</v>
      </c>
      <c r="I66" s="235">
        <f t="shared" si="22"/>
        <v>165807.93022199356</v>
      </c>
      <c r="J66" s="235">
        <f t="shared" si="22"/>
        <v>133248.1386310801</v>
      </c>
      <c r="K66" s="235">
        <f t="shared" si="22"/>
        <v>158948.75324724324</v>
      </c>
      <c r="L66" s="235">
        <f t="shared" si="22"/>
        <v>168970.27449198556</v>
      </c>
      <c r="M66" s="235">
        <f t="shared" si="22"/>
        <v>123474.95418276839</v>
      </c>
      <c r="N66" s="235">
        <f t="shared" si="22"/>
        <v>67968.929548591652</v>
      </c>
      <c r="O66" s="235">
        <f t="shared" si="22"/>
        <v>180019.52589990632</v>
      </c>
      <c r="P66" s="310"/>
      <c r="Q66" s="307"/>
      <c r="R66" s="307"/>
      <c r="S66" s="307"/>
      <c r="T66" s="307"/>
    </row>
    <row r="67" spans="1:20" s="309" customFormat="1" ht="36" hidden="1" customHeight="1">
      <c r="A67" s="218" t="s">
        <v>639</v>
      </c>
      <c r="B67" s="302" t="s">
        <v>907</v>
      </c>
      <c r="C67" s="232"/>
      <c r="D67" s="218"/>
      <c r="E67" s="264">
        <f>E66+E56</f>
        <v>5601759.8950654129</v>
      </c>
      <c r="F67" s="235">
        <f t="shared" ref="F67:K67" si="23">SUM(F60:F64)</f>
        <v>282406.85631853802</v>
      </c>
      <c r="G67" s="235">
        <f t="shared" si="23"/>
        <v>298635.89220340853</v>
      </c>
      <c r="H67" s="235">
        <f t="shared" si="23"/>
        <v>148135.31496645254</v>
      </c>
      <c r="I67" s="235">
        <f t="shared" si="23"/>
        <v>178016.63300273687</v>
      </c>
      <c r="J67" s="235">
        <f t="shared" si="23"/>
        <v>143059.41194265269</v>
      </c>
      <c r="K67" s="235">
        <f t="shared" si="23"/>
        <v>170652.40386978685</v>
      </c>
      <c r="L67" s="235">
        <f>SUM(L60:L64)</f>
        <v>181411.8257331796</v>
      </c>
      <c r="M67" s="235">
        <f>SUM(M60:M64)</f>
        <v>132566.61231073021</v>
      </c>
      <c r="N67" s="235">
        <f>SUM(N60:N64)</f>
        <v>72973.590411754441</v>
      </c>
      <c r="O67" s="235">
        <f>SUM(O60:O64)</f>
        <v>193274.6511734667</v>
      </c>
      <c r="P67" s="310"/>
      <c r="Q67" s="307"/>
      <c r="R67" s="307"/>
      <c r="S67" s="307"/>
      <c r="T67" s="307"/>
    </row>
    <row r="68" spans="1:20" s="324" customFormat="1" ht="45" hidden="1" customHeight="1">
      <c r="A68" s="227" t="s">
        <v>908</v>
      </c>
      <c r="B68" s="299" t="s">
        <v>909</v>
      </c>
      <c r="C68" s="227" t="s">
        <v>888</v>
      </c>
      <c r="D68" s="227"/>
      <c r="E68" s="243">
        <f>SUM(F68:O68)</f>
        <v>94400</v>
      </c>
      <c r="F68" s="243">
        <v>17066</v>
      </c>
      <c r="G68" s="243">
        <v>12294</v>
      </c>
      <c r="H68" s="243">
        <v>10152</v>
      </c>
      <c r="I68" s="243">
        <v>11950</v>
      </c>
      <c r="J68" s="243">
        <v>10023</v>
      </c>
      <c r="K68" s="243">
        <v>9681</v>
      </c>
      <c r="L68" s="243">
        <v>9784</v>
      </c>
      <c r="M68" s="243">
        <v>8310</v>
      </c>
      <c r="N68" s="243"/>
      <c r="O68" s="243">
        <v>5140</v>
      </c>
      <c r="P68" s="317"/>
      <c r="Q68" s="318"/>
      <c r="R68" s="318"/>
      <c r="S68" s="318"/>
      <c r="T68" s="318"/>
    </row>
    <row r="69" spans="1:20" s="324" customFormat="1" ht="37.5" hidden="1" customHeight="1">
      <c r="A69" s="227" t="s">
        <v>910</v>
      </c>
      <c r="B69" s="248" t="s">
        <v>911</v>
      </c>
      <c r="C69" s="227" t="s">
        <v>854</v>
      </c>
      <c r="D69" s="227"/>
      <c r="E69" s="242"/>
      <c r="F69" s="301">
        <f t="shared" ref="F69:M69" si="24">F60/F68*100</f>
        <v>252.46165715800794</v>
      </c>
      <c r="G69" s="301">
        <f t="shared" si="24"/>
        <v>370.59600033998083</v>
      </c>
      <c r="H69" s="301">
        <f t="shared" si="24"/>
        <v>222.61730949298527</v>
      </c>
      <c r="I69" s="301">
        <f t="shared" si="24"/>
        <v>227.27130766655623</v>
      </c>
      <c r="J69" s="301">
        <f t="shared" si="24"/>
        <v>217.75625489733522</v>
      </c>
      <c r="K69" s="301">
        <f t="shared" si="24"/>
        <v>268.93301680987543</v>
      </c>
      <c r="L69" s="301">
        <f t="shared" si="24"/>
        <v>282.87924459304838</v>
      </c>
      <c r="M69" s="301">
        <f t="shared" si="24"/>
        <v>243.38010152086719</v>
      </c>
      <c r="N69" s="301"/>
      <c r="O69" s="301">
        <f>O60/O68*100</f>
        <v>573.67207852663557</v>
      </c>
      <c r="P69" s="317"/>
      <c r="Q69" s="318"/>
      <c r="R69" s="318"/>
      <c r="S69" s="318"/>
      <c r="T69" s="318"/>
    </row>
    <row r="70" spans="1:20" s="318" customFormat="1">
      <c r="A70" s="328"/>
      <c r="B70" s="329"/>
      <c r="C70" s="245"/>
      <c r="D70" s="328"/>
      <c r="E70" s="244"/>
      <c r="F70" s="244"/>
      <c r="G70" s="244"/>
      <c r="H70" s="244"/>
      <c r="I70" s="244"/>
      <c r="J70" s="244"/>
      <c r="K70" s="244"/>
      <c r="L70" s="244"/>
      <c r="M70" s="244"/>
      <c r="N70" s="244"/>
      <c r="O70" s="244"/>
      <c r="P70" s="317"/>
    </row>
    <row r="71" spans="1:20">
      <c r="E71" s="244"/>
      <c r="F71" s="244"/>
      <c r="G71" s="244"/>
      <c r="H71" s="244"/>
      <c r="I71" s="244"/>
      <c r="J71" s="244"/>
      <c r="K71" s="244"/>
      <c r="L71" s="244"/>
      <c r="M71" s="244"/>
      <c r="N71" s="244"/>
      <c r="O71" s="244"/>
      <c r="P71" s="244"/>
    </row>
    <row r="72" spans="1:20">
      <c r="E72" s="244"/>
      <c r="F72" s="244"/>
      <c r="G72" s="244"/>
      <c r="H72" s="244"/>
      <c r="I72" s="244"/>
      <c r="J72" s="244"/>
      <c r="K72" s="244"/>
      <c r="L72" s="244"/>
      <c r="M72" s="244"/>
      <c r="N72" s="244"/>
      <c r="O72" s="244"/>
      <c r="P72" s="244"/>
    </row>
    <row r="73" spans="1:20">
      <c r="E73" s="244"/>
      <c r="F73" s="244"/>
      <c r="G73" s="244"/>
      <c r="H73" s="244"/>
      <c r="I73" s="244"/>
      <c r="J73" s="244"/>
      <c r="K73" s="244"/>
      <c r="L73" s="244"/>
      <c r="M73" s="244"/>
      <c r="N73" s="244"/>
      <c r="O73" s="244"/>
      <c r="P73" s="244"/>
    </row>
    <row r="74" spans="1:20">
      <c r="E74" s="244"/>
      <c r="F74" s="244"/>
      <c r="G74" s="244"/>
      <c r="H74" s="244"/>
      <c r="I74" s="244"/>
      <c r="J74" s="244"/>
      <c r="K74" s="244"/>
      <c r="L74" s="244"/>
      <c r="M74" s="244"/>
      <c r="N74" s="244"/>
      <c r="O74" s="244"/>
      <c r="P74" s="244"/>
    </row>
    <row r="75" spans="1:20">
      <c r="E75" s="244"/>
      <c r="F75" s="244"/>
      <c r="G75" s="244"/>
      <c r="H75" s="244"/>
      <c r="I75" s="244"/>
      <c r="J75" s="244"/>
      <c r="K75" s="244"/>
      <c r="L75" s="244"/>
      <c r="M75" s="244"/>
      <c r="N75" s="244"/>
      <c r="O75" s="244"/>
      <c r="P75" s="244"/>
    </row>
    <row r="76" spans="1:20">
      <c r="E76" s="244"/>
      <c r="F76" s="244"/>
      <c r="G76" s="244"/>
      <c r="H76" s="244"/>
      <c r="I76" s="244"/>
      <c r="J76" s="244"/>
      <c r="K76" s="244"/>
      <c r="L76" s="244"/>
      <c r="M76" s="244"/>
      <c r="N76" s="244"/>
      <c r="O76" s="244"/>
      <c r="P76" s="244"/>
    </row>
    <row r="77" spans="1:20">
      <c r="E77" s="244"/>
      <c r="F77" s="244"/>
      <c r="G77" s="244"/>
      <c r="H77" s="244"/>
      <c r="I77" s="244"/>
      <c r="J77" s="244"/>
      <c r="K77" s="244"/>
      <c r="L77" s="244"/>
      <c r="M77" s="244"/>
      <c r="N77" s="244"/>
      <c r="O77" s="244"/>
      <c r="P77" s="244"/>
    </row>
    <row r="78" spans="1:20">
      <c r="E78" s="244"/>
      <c r="F78" s="244"/>
      <c r="G78" s="244"/>
      <c r="H78" s="244"/>
      <c r="I78" s="244"/>
      <c r="J78" s="244"/>
      <c r="K78" s="244"/>
      <c r="L78" s="244"/>
      <c r="M78" s="244"/>
      <c r="N78" s="244"/>
      <c r="O78" s="244"/>
      <c r="P78" s="244"/>
    </row>
    <row r="79" spans="1:20">
      <c r="E79" s="244"/>
      <c r="F79" s="244"/>
      <c r="G79" s="244"/>
      <c r="H79" s="244"/>
      <c r="I79" s="244"/>
      <c r="J79" s="244"/>
      <c r="K79" s="244"/>
      <c r="L79" s="244"/>
      <c r="M79" s="244"/>
      <c r="N79" s="244"/>
      <c r="O79" s="244"/>
      <c r="P79" s="244"/>
    </row>
    <row r="80" spans="1:20">
      <c r="E80" s="244"/>
      <c r="F80" s="244"/>
      <c r="G80" s="244"/>
      <c r="H80" s="244"/>
      <c r="I80" s="244"/>
      <c r="J80" s="244"/>
      <c r="K80" s="244"/>
      <c r="L80" s="244"/>
      <c r="M80" s="244"/>
      <c r="N80" s="244"/>
      <c r="O80" s="244"/>
      <c r="P80" s="244"/>
    </row>
    <row r="81" spans="5:16">
      <c r="E81" s="244"/>
      <c r="F81" s="244"/>
      <c r="G81" s="244"/>
      <c r="H81" s="244"/>
      <c r="I81" s="244"/>
      <c r="J81" s="244"/>
      <c r="K81" s="244"/>
      <c r="L81" s="244"/>
      <c r="M81" s="244"/>
      <c r="N81" s="244"/>
      <c r="O81" s="244"/>
      <c r="P81" s="244"/>
    </row>
    <row r="82" spans="5:16">
      <c r="E82" s="244"/>
      <c r="F82" s="244"/>
      <c r="G82" s="244"/>
      <c r="H82" s="244"/>
      <c r="I82" s="244"/>
      <c r="J82" s="244"/>
      <c r="K82" s="244"/>
      <c r="L82" s="244"/>
      <c r="M82" s="244"/>
      <c r="N82" s="244"/>
      <c r="O82" s="244"/>
      <c r="P82" s="244"/>
    </row>
    <row r="83" spans="5:16">
      <c r="E83" s="244"/>
      <c r="F83" s="244"/>
      <c r="G83" s="244"/>
      <c r="H83" s="244"/>
      <c r="I83" s="244"/>
      <c r="J83" s="244"/>
      <c r="K83" s="244"/>
      <c r="L83" s="244"/>
      <c r="M83" s="244"/>
      <c r="N83" s="244"/>
      <c r="O83" s="244"/>
      <c r="P83" s="244"/>
    </row>
    <row r="84" spans="5:16">
      <c r="E84" s="244"/>
      <c r="F84" s="244"/>
      <c r="G84" s="244"/>
      <c r="H84" s="244"/>
      <c r="I84" s="244"/>
      <c r="J84" s="244"/>
      <c r="K84" s="244"/>
      <c r="L84" s="244"/>
      <c r="M84" s="244"/>
      <c r="N84" s="244"/>
      <c r="O84" s="244"/>
      <c r="P84" s="244"/>
    </row>
    <row r="85" spans="5:16">
      <c r="E85" s="244"/>
      <c r="F85" s="244"/>
      <c r="G85" s="244"/>
      <c r="H85" s="244"/>
      <c r="I85" s="244"/>
      <c r="J85" s="244"/>
      <c r="K85" s="244"/>
      <c r="L85" s="244"/>
      <c r="M85" s="244"/>
      <c r="N85" s="244"/>
      <c r="O85" s="244"/>
      <c r="P85" s="244"/>
    </row>
    <row r="86" spans="5:16">
      <c r="E86" s="244"/>
      <c r="F86" s="244"/>
      <c r="G86" s="244"/>
      <c r="H86" s="244"/>
      <c r="I86" s="244"/>
      <c r="J86" s="244"/>
      <c r="K86" s="244"/>
      <c r="L86" s="244"/>
      <c r="M86" s="244"/>
      <c r="N86" s="244"/>
      <c r="O86" s="244"/>
      <c r="P86" s="244"/>
    </row>
    <row r="87" spans="5:16">
      <c r="E87" s="244"/>
      <c r="F87" s="244"/>
      <c r="G87" s="244"/>
      <c r="H87" s="244"/>
      <c r="I87" s="244"/>
      <c r="J87" s="244"/>
      <c r="K87" s="244"/>
      <c r="L87" s="244"/>
      <c r="M87" s="244"/>
      <c r="N87" s="244"/>
      <c r="O87" s="244"/>
      <c r="P87" s="244"/>
    </row>
    <row r="88" spans="5:16">
      <c r="E88" s="244"/>
      <c r="F88" s="244"/>
      <c r="G88" s="244"/>
      <c r="H88" s="244"/>
      <c r="I88" s="244"/>
      <c r="J88" s="244"/>
      <c r="K88" s="244"/>
      <c r="L88" s="244"/>
      <c r="M88" s="244"/>
      <c r="N88" s="244"/>
      <c r="O88" s="244"/>
      <c r="P88" s="244"/>
    </row>
    <row r="89" spans="5:16">
      <c r="E89" s="244"/>
      <c r="F89" s="244"/>
      <c r="G89" s="244"/>
      <c r="H89" s="244"/>
      <c r="I89" s="244"/>
      <c r="J89" s="244"/>
      <c r="K89" s="244"/>
      <c r="L89" s="244"/>
      <c r="M89" s="244"/>
      <c r="N89" s="244"/>
      <c r="O89" s="244"/>
      <c r="P89" s="244"/>
    </row>
    <row r="90" spans="5:16">
      <c r="E90" s="244"/>
      <c r="F90" s="244"/>
      <c r="G90" s="244"/>
      <c r="H90" s="244"/>
      <c r="I90" s="244"/>
      <c r="J90" s="244"/>
      <c r="K90" s="244"/>
      <c r="L90" s="244"/>
      <c r="M90" s="244"/>
      <c r="N90" s="244"/>
      <c r="O90" s="244"/>
      <c r="P90" s="244"/>
    </row>
    <row r="91" spans="5:16">
      <c r="E91" s="244"/>
      <c r="F91" s="244"/>
      <c r="G91" s="244"/>
      <c r="H91" s="244"/>
      <c r="I91" s="244"/>
      <c r="J91" s="244"/>
      <c r="K91" s="244"/>
      <c r="L91" s="244"/>
      <c r="M91" s="244"/>
      <c r="N91" s="244"/>
      <c r="O91" s="244"/>
      <c r="P91" s="244"/>
    </row>
    <row r="92" spans="5:16">
      <c r="E92" s="244"/>
      <c r="F92" s="244"/>
      <c r="G92" s="244"/>
      <c r="H92" s="244"/>
      <c r="I92" s="244"/>
      <c r="J92" s="244"/>
      <c r="K92" s="244"/>
      <c r="L92" s="244"/>
      <c r="M92" s="244"/>
      <c r="N92" s="244"/>
      <c r="O92" s="244"/>
      <c r="P92" s="244"/>
    </row>
    <row r="93" spans="5:16">
      <c r="E93" s="244"/>
      <c r="F93" s="244"/>
      <c r="G93" s="244"/>
      <c r="H93" s="244"/>
      <c r="I93" s="244"/>
      <c r="J93" s="244"/>
      <c r="K93" s="244"/>
      <c r="L93" s="244"/>
      <c r="M93" s="244"/>
      <c r="N93" s="244"/>
      <c r="O93" s="244"/>
      <c r="P93" s="244"/>
    </row>
    <row r="94" spans="5:16">
      <c r="E94" s="244"/>
      <c r="F94" s="244"/>
      <c r="G94" s="244"/>
      <c r="H94" s="244"/>
      <c r="I94" s="244"/>
      <c r="J94" s="244"/>
      <c r="K94" s="244"/>
      <c r="L94" s="244"/>
      <c r="M94" s="244"/>
      <c r="N94" s="244"/>
      <c r="O94" s="244"/>
      <c r="P94" s="244"/>
    </row>
    <row r="95" spans="5:16">
      <c r="E95" s="244"/>
      <c r="F95" s="244"/>
      <c r="G95" s="244"/>
      <c r="H95" s="244"/>
      <c r="I95" s="244"/>
      <c r="J95" s="244"/>
      <c r="K95" s="244"/>
      <c r="L95" s="244"/>
      <c r="M95" s="244"/>
      <c r="N95" s="244"/>
      <c r="O95" s="244"/>
      <c r="P95" s="244"/>
    </row>
    <row r="96" spans="5:16">
      <c r="E96" s="244"/>
      <c r="F96" s="244"/>
      <c r="G96" s="244"/>
      <c r="H96" s="244"/>
      <c r="I96" s="244"/>
      <c r="J96" s="244"/>
      <c r="K96" s="244"/>
      <c r="L96" s="244"/>
      <c r="M96" s="244"/>
      <c r="N96" s="244"/>
      <c r="O96" s="244"/>
      <c r="P96" s="244"/>
    </row>
    <row r="97" spans="5:16">
      <c r="E97" s="244"/>
      <c r="F97" s="244"/>
      <c r="G97" s="244"/>
      <c r="H97" s="244"/>
      <c r="I97" s="244"/>
      <c r="J97" s="244"/>
      <c r="K97" s="244"/>
      <c r="L97" s="244"/>
      <c r="M97" s="244"/>
      <c r="N97" s="244"/>
      <c r="O97" s="244"/>
      <c r="P97" s="244"/>
    </row>
    <row r="98" spans="5:16">
      <c r="E98" s="244"/>
      <c r="F98" s="244"/>
      <c r="G98" s="244"/>
      <c r="H98" s="244"/>
      <c r="I98" s="244"/>
      <c r="J98" s="244"/>
      <c r="K98" s="244"/>
      <c r="L98" s="244"/>
      <c r="M98" s="244"/>
      <c r="N98" s="244"/>
      <c r="O98" s="244"/>
      <c r="P98" s="244"/>
    </row>
    <row r="99" spans="5:16">
      <c r="E99" s="244"/>
      <c r="F99" s="244"/>
      <c r="G99" s="244"/>
      <c r="H99" s="244"/>
      <c r="I99" s="244"/>
      <c r="J99" s="244"/>
      <c r="K99" s="244"/>
      <c r="L99" s="244"/>
      <c r="M99" s="244"/>
      <c r="N99" s="244"/>
      <c r="O99" s="244"/>
      <c r="P99" s="244"/>
    </row>
    <row r="100" spans="5:16">
      <c r="E100" s="244"/>
      <c r="F100" s="244"/>
      <c r="G100" s="244"/>
      <c r="H100" s="244"/>
      <c r="I100" s="244"/>
      <c r="J100" s="244"/>
      <c r="K100" s="244"/>
      <c r="L100" s="244"/>
      <c r="M100" s="244"/>
      <c r="N100" s="244"/>
      <c r="O100" s="244"/>
      <c r="P100" s="244"/>
    </row>
    <row r="101" spans="5:16">
      <c r="E101" s="244"/>
      <c r="F101" s="244"/>
      <c r="G101" s="244"/>
      <c r="H101" s="244"/>
      <c r="I101" s="244"/>
      <c r="J101" s="244"/>
      <c r="K101" s="244"/>
      <c r="L101" s="244"/>
      <c r="M101" s="244"/>
      <c r="N101" s="244"/>
      <c r="O101" s="244"/>
      <c r="P101" s="244"/>
    </row>
    <row r="102" spans="5:16">
      <c r="E102" s="244"/>
      <c r="F102" s="244"/>
      <c r="G102" s="244"/>
      <c r="H102" s="244"/>
      <c r="I102" s="244"/>
      <c r="J102" s="244"/>
      <c r="K102" s="244"/>
      <c r="L102" s="244"/>
      <c r="M102" s="244"/>
      <c r="N102" s="244"/>
      <c r="O102" s="244"/>
      <c r="P102" s="244"/>
    </row>
    <row r="103" spans="5:16">
      <c r="E103" s="244"/>
      <c r="F103" s="244"/>
      <c r="G103" s="244"/>
      <c r="H103" s="244"/>
      <c r="I103" s="244"/>
      <c r="J103" s="244"/>
      <c r="K103" s="244"/>
      <c r="L103" s="244"/>
      <c r="M103" s="244"/>
      <c r="N103" s="244"/>
      <c r="O103" s="244"/>
      <c r="P103" s="244"/>
    </row>
    <row r="104" spans="5:16">
      <c r="E104" s="244"/>
      <c r="F104" s="244"/>
      <c r="G104" s="244"/>
      <c r="H104" s="244"/>
      <c r="I104" s="244"/>
      <c r="J104" s="244"/>
      <c r="K104" s="244"/>
      <c r="L104" s="244"/>
      <c r="M104" s="244"/>
      <c r="N104" s="244"/>
      <c r="O104" s="244"/>
      <c r="P104" s="244"/>
    </row>
    <row r="105" spans="5:16">
      <c r="E105" s="244"/>
      <c r="F105" s="244"/>
      <c r="G105" s="244"/>
      <c r="H105" s="244"/>
      <c r="I105" s="244"/>
      <c r="J105" s="244"/>
      <c r="K105" s="244"/>
      <c r="L105" s="244"/>
      <c r="M105" s="244"/>
      <c r="N105" s="244"/>
      <c r="O105" s="244"/>
      <c r="P105" s="244"/>
    </row>
    <row r="106" spans="5:16">
      <c r="E106" s="244"/>
      <c r="F106" s="244"/>
      <c r="G106" s="244"/>
      <c r="H106" s="244"/>
      <c r="I106" s="244"/>
      <c r="J106" s="244"/>
      <c r="K106" s="244"/>
      <c r="L106" s="244"/>
      <c r="M106" s="244"/>
      <c r="N106" s="244"/>
      <c r="O106" s="244"/>
      <c r="P106" s="244"/>
    </row>
    <row r="107" spans="5:16">
      <c r="E107" s="244"/>
      <c r="F107" s="244"/>
      <c r="G107" s="244"/>
      <c r="H107" s="244"/>
      <c r="I107" s="244"/>
      <c r="J107" s="244"/>
      <c r="K107" s="244"/>
      <c r="L107" s="244"/>
      <c r="M107" s="244"/>
      <c r="N107" s="244"/>
      <c r="O107" s="244"/>
      <c r="P107" s="244"/>
    </row>
    <row r="108" spans="5:16">
      <c r="E108" s="244"/>
      <c r="F108" s="244"/>
      <c r="G108" s="244"/>
      <c r="H108" s="244"/>
      <c r="I108" s="244"/>
      <c r="J108" s="244"/>
      <c r="K108" s="244"/>
      <c r="L108" s="244"/>
      <c r="M108" s="244"/>
      <c r="N108" s="244"/>
      <c r="O108" s="244"/>
      <c r="P108" s="244"/>
    </row>
    <row r="109" spans="5:16">
      <c r="E109" s="244"/>
      <c r="F109" s="244"/>
      <c r="G109" s="244"/>
      <c r="H109" s="244"/>
      <c r="I109" s="244"/>
      <c r="J109" s="244"/>
      <c r="K109" s="244"/>
      <c r="L109" s="244"/>
      <c r="M109" s="244"/>
      <c r="N109" s="244"/>
      <c r="O109" s="244"/>
      <c r="P109" s="244"/>
    </row>
    <row r="110" spans="5:16">
      <c r="E110" s="244"/>
      <c r="F110" s="244"/>
      <c r="G110" s="244"/>
      <c r="H110" s="244"/>
      <c r="I110" s="244"/>
      <c r="J110" s="244"/>
      <c r="K110" s="244"/>
      <c r="L110" s="244"/>
      <c r="M110" s="244"/>
      <c r="N110" s="244"/>
      <c r="O110" s="244"/>
      <c r="P110" s="244"/>
    </row>
    <row r="111" spans="5:16">
      <c r="E111" s="244"/>
      <c r="F111" s="244"/>
      <c r="G111" s="244"/>
      <c r="H111" s="244"/>
      <c r="I111" s="244"/>
      <c r="J111" s="244"/>
      <c r="K111" s="244"/>
      <c r="L111" s="244"/>
      <c r="M111" s="244"/>
      <c r="N111" s="244"/>
      <c r="O111" s="244"/>
      <c r="P111" s="244"/>
    </row>
    <row r="112" spans="5:16">
      <c r="E112" s="244"/>
      <c r="F112" s="244"/>
      <c r="G112" s="244"/>
      <c r="H112" s="244"/>
      <c r="I112" s="244"/>
      <c r="J112" s="244"/>
      <c r="K112" s="244"/>
      <c r="L112" s="244"/>
      <c r="M112" s="244"/>
      <c r="N112" s="244"/>
      <c r="O112" s="244"/>
      <c r="P112" s="244"/>
    </row>
    <row r="113" spans="5:16">
      <c r="E113" s="244"/>
      <c r="F113" s="244"/>
      <c r="G113" s="244"/>
      <c r="H113" s="244"/>
      <c r="I113" s="244"/>
      <c r="J113" s="244"/>
      <c r="K113" s="244"/>
      <c r="L113" s="244"/>
      <c r="M113" s="244"/>
      <c r="N113" s="244"/>
      <c r="O113" s="244"/>
      <c r="P113" s="244"/>
    </row>
    <row r="114" spans="5:16">
      <c r="E114" s="244"/>
      <c r="F114" s="244"/>
      <c r="G114" s="244"/>
      <c r="H114" s="244"/>
      <c r="I114" s="244"/>
      <c r="J114" s="244"/>
      <c r="K114" s="244"/>
      <c r="L114" s="244"/>
      <c r="M114" s="244"/>
      <c r="N114" s="244"/>
      <c r="O114" s="244"/>
      <c r="P114" s="244"/>
    </row>
    <row r="115" spans="5:16">
      <c r="E115" s="244"/>
      <c r="F115" s="244"/>
      <c r="G115" s="244"/>
      <c r="H115" s="244"/>
      <c r="I115" s="244"/>
      <c r="J115" s="244"/>
      <c r="K115" s="244"/>
      <c r="L115" s="244"/>
      <c r="M115" s="244"/>
      <c r="N115" s="244"/>
      <c r="O115" s="244"/>
      <c r="P115" s="244"/>
    </row>
    <row r="116" spans="5:16">
      <c r="E116" s="244"/>
      <c r="F116" s="244"/>
      <c r="G116" s="244"/>
      <c r="H116" s="244"/>
      <c r="I116" s="244"/>
      <c r="J116" s="244"/>
      <c r="K116" s="244"/>
      <c r="L116" s="244"/>
      <c r="M116" s="244"/>
      <c r="N116" s="244"/>
      <c r="O116" s="244"/>
      <c r="P116" s="244"/>
    </row>
    <row r="117" spans="5:16">
      <c r="E117" s="244"/>
      <c r="F117" s="244"/>
      <c r="G117" s="244"/>
      <c r="H117" s="244"/>
      <c r="I117" s="244"/>
      <c r="J117" s="244"/>
      <c r="K117" s="244"/>
      <c r="L117" s="244"/>
      <c r="M117" s="244"/>
      <c r="N117" s="244"/>
      <c r="O117" s="244"/>
      <c r="P117" s="244"/>
    </row>
    <row r="118" spans="5:16">
      <c r="E118" s="244"/>
      <c r="F118" s="244"/>
      <c r="G118" s="244"/>
      <c r="H118" s="244"/>
      <c r="I118" s="244"/>
      <c r="J118" s="244"/>
      <c r="K118" s="244"/>
      <c r="L118" s="244"/>
      <c r="M118" s="244"/>
      <c r="N118" s="244"/>
      <c r="O118" s="244"/>
      <c r="P118" s="244"/>
    </row>
    <row r="119" spans="5:16">
      <c r="E119" s="244"/>
      <c r="F119" s="244"/>
      <c r="G119" s="244"/>
      <c r="H119" s="244"/>
      <c r="I119" s="244"/>
      <c r="J119" s="244"/>
      <c r="K119" s="244"/>
      <c r="L119" s="244"/>
      <c r="M119" s="244"/>
      <c r="N119" s="244"/>
      <c r="O119" s="244"/>
      <c r="P119" s="244"/>
    </row>
    <row r="120" spans="5:16">
      <c r="E120" s="244"/>
      <c r="F120" s="244"/>
      <c r="G120" s="244"/>
      <c r="H120" s="244"/>
      <c r="I120" s="244"/>
      <c r="J120" s="244"/>
      <c r="K120" s="244"/>
      <c r="L120" s="244"/>
      <c r="M120" s="244"/>
      <c r="N120" s="244"/>
      <c r="O120" s="244"/>
      <c r="P120" s="244"/>
    </row>
    <row r="121" spans="5:16">
      <c r="E121" s="244"/>
      <c r="F121" s="244"/>
      <c r="G121" s="244"/>
      <c r="H121" s="244"/>
      <c r="I121" s="244"/>
      <c r="J121" s="244"/>
      <c r="K121" s="244"/>
      <c r="L121" s="244"/>
      <c r="M121" s="244"/>
      <c r="N121" s="244"/>
      <c r="O121" s="244"/>
      <c r="P121" s="244"/>
    </row>
    <row r="122" spans="5:16">
      <c r="E122" s="244"/>
      <c r="F122" s="244"/>
      <c r="G122" s="244"/>
      <c r="H122" s="244"/>
      <c r="I122" s="244"/>
      <c r="J122" s="244"/>
      <c r="K122" s="244"/>
      <c r="L122" s="244"/>
      <c r="M122" s="244"/>
      <c r="N122" s="244"/>
      <c r="O122" s="244"/>
      <c r="P122" s="244"/>
    </row>
    <row r="123" spans="5:16">
      <c r="E123" s="244"/>
      <c r="F123" s="244"/>
      <c r="G123" s="244"/>
      <c r="H123" s="244"/>
      <c r="I123" s="244"/>
      <c r="J123" s="244"/>
      <c r="K123" s="244"/>
      <c r="L123" s="244"/>
      <c r="M123" s="244"/>
      <c r="N123" s="244"/>
      <c r="O123" s="244"/>
      <c r="P123" s="244"/>
    </row>
    <row r="124" spans="5:16">
      <c r="E124" s="244"/>
      <c r="F124" s="244"/>
      <c r="G124" s="244"/>
      <c r="H124" s="244"/>
      <c r="I124" s="244"/>
      <c r="J124" s="244"/>
      <c r="K124" s="244"/>
      <c r="L124" s="244"/>
      <c r="M124" s="244"/>
      <c r="N124" s="244"/>
      <c r="O124" s="244"/>
      <c r="P124" s="244"/>
    </row>
    <row r="125" spans="5:16">
      <c r="E125" s="244"/>
      <c r="F125" s="244"/>
      <c r="G125" s="244"/>
      <c r="H125" s="244"/>
      <c r="I125" s="244"/>
      <c r="J125" s="244"/>
      <c r="K125" s="244"/>
      <c r="L125" s="244"/>
      <c r="M125" s="244"/>
      <c r="N125" s="244"/>
      <c r="O125" s="244"/>
      <c r="P125" s="244"/>
    </row>
    <row r="126" spans="5:16">
      <c r="E126" s="244"/>
      <c r="F126" s="244"/>
      <c r="G126" s="244"/>
      <c r="H126" s="244"/>
      <c r="I126" s="244"/>
      <c r="J126" s="244"/>
      <c r="K126" s="244"/>
      <c r="L126" s="244"/>
      <c r="M126" s="244"/>
      <c r="N126" s="244"/>
      <c r="O126" s="244"/>
      <c r="P126" s="244"/>
    </row>
    <row r="127" spans="5:16">
      <c r="E127" s="244"/>
      <c r="F127" s="244"/>
      <c r="G127" s="244"/>
      <c r="H127" s="244"/>
      <c r="I127" s="244"/>
      <c r="J127" s="244"/>
      <c r="K127" s="244"/>
      <c r="L127" s="244"/>
      <c r="M127" s="244"/>
      <c r="N127" s="244"/>
      <c r="O127" s="244"/>
      <c r="P127" s="244"/>
    </row>
    <row r="128" spans="5:16">
      <c r="E128" s="244"/>
      <c r="F128" s="244"/>
      <c r="G128" s="244"/>
      <c r="H128" s="244"/>
      <c r="I128" s="244"/>
      <c r="J128" s="244"/>
      <c r="K128" s="244"/>
      <c r="L128" s="244"/>
      <c r="M128" s="244"/>
      <c r="N128" s="244"/>
      <c r="O128" s="244"/>
      <c r="P128" s="244"/>
    </row>
    <row r="129" spans="5:16">
      <c r="E129" s="244"/>
      <c r="F129" s="244"/>
      <c r="G129" s="244"/>
      <c r="H129" s="244"/>
      <c r="I129" s="244"/>
      <c r="J129" s="244"/>
      <c r="K129" s="244"/>
      <c r="L129" s="244"/>
      <c r="M129" s="244"/>
      <c r="N129" s="244"/>
      <c r="O129" s="244"/>
      <c r="P129" s="244"/>
    </row>
    <row r="130" spans="5:16">
      <c r="E130" s="244"/>
      <c r="F130" s="244"/>
      <c r="G130" s="244"/>
      <c r="H130" s="244"/>
      <c r="I130" s="244"/>
      <c r="J130" s="244"/>
      <c r="K130" s="244"/>
      <c r="L130" s="244"/>
      <c r="M130" s="244"/>
      <c r="N130" s="244"/>
      <c r="O130" s="244"/>
      <c r="P130" s="244"/>
    </row>
    <row r="131" spans="5:16">
      <c r="E131" s="244"/>
      <c r="F131" s="244"/>
      <c r="G131" s="244"/>
      <c r="H131" s="244"/>
      <c r="I131" s="244"/>
      <c r="J131" s="244"/>
      <c r="K131" s="244"/>
      <c r="L131" s="244"/>
      <c r="M131" s="244"/>
      <c r="N131" s="244"/>
      <c r="O131" s="244"/>
      <c r="P131" s="244"/>
    </row>
    <row r="132" spans="5:16">
      <c r="E132" s="244"/>
      <c r="F132" s="244"/>
      <c r="G132" s="244"/>
      <c r="H132" s="244"/>
      <c r="I132" s="244"/>
      <c r="J132" s="244"/>
      <c r="K132" s="244"/>
      <c r="L132" s="244"/>
      <c r="M132" s="244"/>
      <c r="N132" s="244"/>
      <c r="O132" s="244"/>
      <c r="P132" s="244"/>
    </row>
    <row r="133" spans="5:16">
      <c r="E133" s="244"/>
      <c r="F133" s="244"/>
      <c r="G133" s="244"/>
      <c r="H133" s="244"/>
      <c r="I133" s="244"/>
      <c r="J133" s="244"/>
      <c r="K133" s="244"/>
      <c r="L133" s="244"/>
      <c r="M133" s="244"/>
      <c r="N133" s="244"/>
      <c r="O133" s="244"/>
      <c r="P133" s="244"/>
    </row>
    <row r="134" spans="5:16">
      <c r="E134" s="244"/>
      <c r="F134" s="244"/>
      <c r="G134" s="244"/>
      <c r="H134" s="244"/>
      <c r="I134" s="244"/>
      <c r="J134" s="244"/>
      <c r="K134" s="244"/>
      <c r="L134" s="244"/>
      <c r="M134" s="244"/>
      <c r="N134" s="244"/>
      <c r="O134" s="244"/>
      <c r="P134" s="244"/>
    </row>
    <row r="135" spans="5:16">
      <c r="E135" s="244"/>
      <c r="F135" s="244"/>
      <c r="G135" s="244"/>
      <c r="H135" s="244"/>
      <c r="I135" s="244"/>
      <c r="J135" s="244"/>
      <c r="K135" s="244"/>
      <c r="L135" s="244"/>
      <c r="M135" s="244"/>
      <c r="N135" s="244"/>
      <c r="O135" s="244"/>
      <c r="P135" s="244"/>
    </row>
    <row r="136" spans="5:16">
      <c r="E136" s="244"/>
      <c r="F136" s="244"/>
      <c r="G136" s="244"/>
      <c r="H136" s="244"/>
      <c r="I136" s="244"/>
      <c r="J136" s="244"/>
      <c r="K136" s="244"/>
      <c r="L136" s="244"/>
      <c r="M136" s="244"/>
      <c r="N136" s="244"/>
      <c r="O136" s="244"/>
      <c r="P136" s="244"/>
    </row>
    <row r="137" spans="5:16">
      <c r="E137" s="244"/>
      <c r="F137" s="244"/>
      <c r="G137" s="244"/>
      <c r="H137" s="244"/>
      <c r="I137" s="244"/>
      <c r="J137" s="244"/>
      <c r="K137" s="244"/>
      <c r="L137" s="244"/>
      <c r="M137" s="244"/>
      <c r="N137" s="244"/>
      <c r="O137" s="244"/>
      <c r="P137" s="244"/>
    </row>
    <row r="138" spans="5:16">
      <c r="E138" s="244"/>
      <c r="F138" s="244"/>
      <c r="G138" s="244"/>
      <c r="H138" s="244"/>
      <c r="I138" s="244"/>
      <c r="J138" s="244"/>
      <c r="K138" s="244"/>
      <c r="L138" s="244"/>
      <c r="M138" s="244"/>
      <c r="N138" s="244"/>
      <c r="O138" s="244"/>
      <c r="P138" s="244"/>
    </row>
    <row r="139" spans="5:16">
      <c r="E139" s="244"/>
      <c r="F139" s="244"/>
      <c r="G139" s="244"/>
      <c r="H139" s="244"/>
      <c r="I139" s="244"/>
      <c r="J139" s="244"/>
      <c r="K139" s="244"/>
      <c r="L139" s="244"/>
      <c r="M139" s="244"/>
      <c r="N139" s="244"/>
      <c r="O139" s="244"/>
      <c r="P139" s="244"/>
    </row>
    <row r="140" spans="5:16">
      <c r="E140" s="244"/>
      <c r="F140" s="244"/>
      <c r="G140" s="244"/>
      <c r="H140" s="244"/>
      <c r="I140" s="244"/>
      <c r="J140" s="244"/>
      <c r="K140" s="244"/>
      <c r="L140" s="244"/>
      <c r="M140" s="244"/>
      <c r="N140" s="244"/>
      <c r="O140" s="244"/>
      <c r="P140" s="244"/>
    </row>
    <row r="141" spans="5:16">
      <c r="E141" s="244"/>
      <c r="F141" s="244"/>
      <c r="G141" s="244"/>
      <c r="H141" s="244"/>
      <c r="I141" s="244"/>
      <c r="J141" s="244"/>
      <c r="K141" s="244"/>
      <c r="L141" s="244"/>
      <c r="M141" s="244"/>
      <c r="N141" s="244"/>
      <c r="O141" s="244"/>
      <c r="P141" s="244"/>
    </row>
    <row r="142" spans="5:16">
      <c r="E142" s="244"/>
      <c r="F142" s="244"/>
      <c r="G142" s="244"/>
      <c r="H142" s="244"/>
      <c r="I142" s="244"/>
      <c r="J142" s="244"/>
      <c r="K142" s="244"/>
      <c r="L142" s="244"/>
      <c r="M142" s="244"/>
      <c r="N142" s="244"/>
      <c r="O142" s="244"/>
      <c r="P142" s="244"/>
    </row>
    <row r="143" spans="5:16">
      <c r="E143" s="244"/>
      <c r="F143" s="244"/>
      <c r="G143" s="244"/>
      <c r="H143" s="244"/>
      <c r="I143" s="244"/>
      <c r="J143" s="244"/>
      <c r="K143" s="244"/>
      <c r="L143" s="244"/>
      <c r="M143" s="244"/>
      <c r="N143" s="244"/>
      <c r="O143" s="244"/>
      <c r="P143" s="244"/>
    </row>
    <row r="144" spans="5:16">
      <c r="E144" s="244"/>
      <c r="F144" s="244"/>
      <c r="G144" s="244"/>
      <c r="H144" s="244"/>
      <c r="I144" s="244"/>
      <c r="J144" s="244"/>
      <c r="K144" s="244"/>
      <c r="L144" s="244"/>
      <c r="M144" s="244"/>
      <c r="N144" s="244"/>
      <c r="O144" s="244"/>
      <c r="P144" s="244"/>
    </row>
    <row r="145" spans="5:16">
      <c r="E145" s="244"/>
      <c r="F145" s="244"/>
      <c r="G145" s="244"/>
      <c r="H145" s="244"/>
      <c r="I145" s="244"/>
      <c r="J145" s="244"/>
      <c r="K145" s="244"/>
      <c r="L145" s="244"/>
      <c r="M145" s="244"/>
      <c r="N145" s="244"/>
      <c r="O145" s="244"/>
      <c r="P145" s="244"/>
    </row>
    <row r="146" spans="5:16">
      <c r="E146" s="244"/>
      <c r="F146" s="244"/>
      <c r="G146" s="244"/>
      <c r="H146" s="244"/>
      <c r="I146" s="244"/>
      <c r="J146" s="244"/>
      <c r="K146" s="244"/>
      <c r="L146" s="244"/>
      <c r="M146" s="244"/>
      <c r="N146" s="244"/>
      <c r="O146" s="244"/>
      <c r="P146" s="244"/>
    </row>
    <row r="147" spans="5:16">
      <c r="E147" s="244"/>
      <c r="F147" s="244"/>
      <c r="G147" s="244"/>
      <c r="H147" s="244"/>
      <c r="I147" s="244"/>
      <c r="J147" s="244"/>
      <c r="K147" s="244"/>
      <c r="L147" s="244"/>
      <c r="M147" s="244"/>
      <c r="N147" s="244"/>
      <c r="O147" s="244"/>
      <c r="P147" s="244"/>
    </row>
    <row r="148" spans="5:16">
      <c r="E148" s="244"/>
      <c r="F148" s="244"/>
      <c r="G148" s="244"/>
      <c r="H148" s="244"/>
      <c r="I148" s="244"/>
      <c r="J148" s="244"/>
      <c r="K148" s="244"/>
      <c r="L148" s="244"/>
      <c r="M148" s="244"/>
      <c r="N148" s="244"/>
      <c r="O148" s="244"/>
      <c r="P148" s="244"/>
    </row>
    <row r="149" spans="5:16">
      <c r="E149" s="244"/>
      <c r="F149" s="244"/>
      <c r="G149" s="244"/>
      <c r="H149" s="244"/>
      <c r="I149" s="244"/>
      <c r="J149" s="244"/>
      <c r="K149" s="244"/>
      <c r="L149" s="244"/>
      <c r="M149" s="244"/>
      <c r="N149" s="244"/>
      <c r="O149" s="244"/>
      <c r="P149" s="244"/>
    </row>
    <row r="150" spans="5:16">
      <c r="E150" s="244"/>
      <c r="F150" s="244"/>
      <c r="G150" s="244"/>
      <c r="H150" s="244"/>
      <c r="I150" s="244"/>
      <c r="J150" s="244"/>
      <c r="K150" s="244"/>
      <c r="L150" s="244"/>
      <c r="M150" s="244"/>
      <c r="N150" s="244"/>
      <c r="O150" s="244"/>
      <c r="P150" s="244"/>
    </row>
    <row r="151" spans="5:16">
      <c r="E151" s="244"/>
      <c r="F151" s="244"/>
      <c r="G151" s="244"/>
      <c r="H151" s="244"/>
      <c r="I151" s="244"/>
      <c r="J151" s="244"/>
      <c r="K151" s="244"/>
      <c r="L151" s="244"/>
      <c r="M151" s="244"/>
      <c r="N151" s="244"/>
      <c r="O151" s="244"/>
      <c r="P151" s="244"/>
    </row>
    <row r="152" spans="5:16">
      <c r="E152" s="244"/>
      <c r="F152" s="244"/>
      <c r="G152" s="244"/>
      <c r="H152" s="244"/>
      <c r="I152" s="244"/>
      <c r="J152" s="244"/>
      <c r="K152" s="244"/>
      <c r="L152" s="244"/>
      <c r="M152" s="244"/>
      <c r="N152" s="244"/>
      <c r="O152" s="244"/>
      <c r="P152" s="244"/>
    </row>
    <row r="153" spans="5:16">
      <c r="E153" s="244"/>
      <c r="F153" s="244"/>
      <c r="G153" s="244"/>
      <c r="H153" s="244"/>
      <c r="I153" s="244"/>
      <c r="J153" s="244"/>
      <c r="K153" s="244"/>
      <c r="L153" s="244"/>
      <c r="M153" s="244"/>
      <c r="N153" s="244"/>
      <c r="O153" s="244"/>
      <c r="P153" s="244"/>
    </row>
    <row r="154" spans="5:16">
      <c r="E154" s="244"/>
      <c r="F154" s="244"/>
      <c r="G154" s="244"/>
      <c r="H154" s="244"/>
      <c r="I154" s="244"/>
      <c r="J154" s="244"/>
      <c r="K154" s="244"/>
      <c r="L154" s="244"/>
      <c r="M154" s="244"/>
      <c r="N154" s="244"/>
      <c r="O154" s="244"/>
      <c r="P154" s="244"/>
    </row>
    <row r="155" spans="5:16">
      <c r="E155" s="244"/>
      <c r="F155" s="244"/>
      <c r="G155" s="244"/>
      <c r="H155" s="244"/>
      <c r="I155" s="244"/>
      <c r="J155" s="244"/>
      <c r="K155" s="244"/>
      <c r="L155" s="244"/>
      <c r="M155" s="244"/>
      <c r="N155" s="244"/>
      <c r="O155" s="244"/>
      <c r="P155" s="244"/>
    </row>
    <row r="156" spans="5:16">
      <c r="E156" s="244"/>
      <c r="F156" s="244"/>
      <c r="G156" s="244"/>
      <c r="H156" s="244"/>
      <c r="I156" s="244"/>
      <c r="J156" s="244"/>
      <c r="K156" s="244"/>
      <c r="L156" s="244"/>
      <c r="M156" s="244"/>
      <c r="N156" s="244"/>
      <c r="O156" s="244"/>
      <c r="P156" s="244"/>
    </row>
    <row r="157" spans="5:16">
      <c r="E157" s="244"/>
      <c r="F157" s="244"/>
      <c r="G157" s="244"/>
      <c r="H157" s="244"/>
      <c r="I157" s="244"/>
      <c r="J157" s="244"/>
      <c r="K157" s="244"/>
      <c r="L157" s="244"/>
      <c r="M157" s="244"/>
      <c r="N157" s="244"/>
      <c r="O157" s="244"/>
      <c r="P157" s="244"/>
    </row>
    <row r="158" spans="5:16">
      <c r="E158" s="244"/>
      <c r="F158" s="244"/>
      <c r="G158" s="244"/>
      <c r="H158" s="244"/>
      <c r="I158" s="244"/>
      <c r="J158" s="244"/>
      <c r="K158" s="244"/>
      <c r="L158" s="244"/>
      <c r="M158" s="244"/>
      <c r="N158" s="244"/>
      <c r="O158" s="244"/>
      <c r="P158" s="244"/>
    </row>
    <row r="159" spans="5:16">
      <c r="E159" s="244"/>
      <c r="F159" s="244"/>
      <c r="G159" s="244"/>
      <c r="H159" s="244"/>
      <c r="I159" s="244"/>
      <c r="J159" s="244"/>
      <c r="K159" s="244"/>
      <c r="L159" s="244"/>
      <c r="M159" s="244"/>
      <c r="N159" s="244"/>
      <c r="O159" s="244"/>
      <c r="P159" s="244"/>
    </row>
    <row r="160" spans="5:16">
      <c r="E160" s="244"/>
      <c r="F160" s="244"/>
      <c r="G160" s="244"/>
      <c r="H160" s="244"/>
      <c r="I160" s="244"/>
      <c r="J160" s="244"/>
      <c r="K160" s="244"/>
      <c r="L160" s="244"/>
      <c r="M160" s="244"/>
      <c r="N160" s="244"/>
      <c r="O160" s="244"/>
      <c r="P160" s="244"/>
    </row>
    <row r="161" spans="5:16">
      <c r="E161" s="244"/>
      <c r="F161" s="244"/>
      <c r="G161" s="244"/>
      <c r="H161" s="244"/>
      <c r="I161" s="244"/>
      <c r="J161" s="244"/>
      <c r="K161" s="244"/>
      <c r="L161" s="244"/>
      <c r="M161" s="244"/>
      <c r="N161" s="244"/>
      <c r="O161" s="244"/>
      <c r="P161" s="244"/>
    </row>
    <row r="162" spans="5:16">
      <c r="E162" s="244"/>
      <c r="F162" s="244"/>
      <c r="G162" s="244"/>
      <c r="H162" s="244"/>
      <c r="I162" s="244"/>
      <c r="J162" s="244"/>
      <c r="K162" s="244"/>
      <c r="L162" s="244"/>
      <c r="M162" s="244"/>
      <c r="N162" s="244"/>
      <c r="O162" s="244"/>
      <c r="P162" s="244"/>
    </row>
    <row r="163" spans="5:16">
      <c r="E163" s="244"/>
      <c r="F163" s="244"/>
      <c r="G163" s="244"/>
      <c r="H163" s="244"/>
      <c r="I163" s="244"/>
      <c r="J163" s="244"/>
      <c r="K163" s="244"/>
      <c r="L163" s="244"/>
      <c r="M163" s="244"/>
      <c r="N163" s="244"/>
      <c r="O163" s="244"/>
      <c r="P163" s="244"/>
    </row>
    <row r="164" spans="5:16">
      <c r="E164" s="244"/>
      <c r="F164" s="244"/>
      <c r="G164" s="244"/>
      <c r="H164" s="244"/>
      <c r="I164" s="244"/>
      <c r="J164" s="244"/>
      <c r="K164" s="244"/>
      <c r="L164" s="244"/>
      <c r="M164" s="244"/>
      <c r="N164" s="244"/>
      <c r="O164" s="244"/>
      <c r="P164" s="244"/>
    </row>
    <row r="165" spans="5:16">
      <c r="E165" s="244"/>
      <c r="F165" s="244"/>
      <c r="G165" s="244"/>
      <c r="H165" s="244"/>
      <c r="I165" s="244"/>
      <c r="J165" s="244"/>
      <c r="K165" s="244"/>
      <c r="L165" s="244"/>
      <c r="M165" s="244"/>
      <c r="N165" s="244"/>
      <c r="O165" s="244"/>
      <c r="P165" s="244"/>
    </row>
    <row r="166" spans="5:16">
      <c r="E166" s="244"/>
      <c r="F166" s="244"/>
      <c r="G166" s="244"/>
      <c r="H166" s="244"/>
      <c r="I166" s="244"/>
      <c r="J166" s="244"/>
      <c r="K166" s="244"/>
      <c r="L166" s="244"/>
      <c r="M166" s="244"/>
      <c r="N166" s="244"/>
      <c r="O166" s="244"/>
      <c r="P166" s="244"/>
    </row>
    <row r="167" spans="5:16">
      <c r="E167" s="244"/>
      <c r="F167" s="244"/>
      <c r="G167" s="244"/>
      <c r="H167" s="244"/>
      <c r="I167" s="244"/>
      <c r="J167" s="244"/>
      <c r="K167" s="244"/>
      <c r="L167" s="244"/>
      <c r="M167" s="244"/>
      <c r="N167" s="244"/>
      <c r="O167" s="244"/>
      <c r="P167" s="244"/>
    </row>
    <row r="168" spans="5:16">
      <c r="E168" s="244"/>
      <c r="F168" s="244"/>
      <c r="G168" s="244"/>
      <c r="H168" s="244"/>
      <c r="I168" s="244"/>
      <c r="J168" s="244"/>
      <c r="K168" s="244"/>
      <c r="L168" s="244"/>
      <c r="M168" s="244"/>
      <c r="N168" s="244"/>
      <c r="O168" s="244"/>
      <c r="P168" s="244"/>
    </row>
    <row r="169" spans="5:16">
      <c r="E169" s="244"/>
      <c r="F169" s="244"/>
      <c r="G169" s="244"/>
      <c r="H169" s="244"/>
      <c r="I169" s="244"/>
      <c r="J169" s="244"/>
      <c r="K169" s="244"/>
      <c r="L169" s="244"/>
      <c r="M169" s="244"/>
      <c r="N169" s="244"/>
      <c r="O169" s="244"/>
      <c r="P169" s="244"/>
    </row>
    <row r="170" spans="5:16">
      <c r="E170" s="244"/>
      <c r="F170" s="244"/>
      <c r="G170" s="244"/>
      <c r="H170" s="244"/>
      <c r="I170" s="244"/>
      <c r="J170" s="244"/>
      <c r="K170" s="244"/>
      <c r="L170" s="244"/>
      <c r="M170" s="244"/>
      <c r="N170" s="244"/>
      <c r="O170" s="244"/>
      <c r="P170" s="244"/>
    </row>
    <row r="171" spans="5:16">
      <c r="E171" s="244"/>
      <c r="F171" s="244"/>
      <c r="G171" s="244"/>
      <c r="H171" s="244"/>
      <c r="I171" s="244"/>
      <c r="J171" s="244"/>
      <c r="K171" s="244"/>
      <c r="L171" s="244"/>
      <c r="M171" s="244"/>
      <c r="N171" s="244"/>
      <c r="O171" s="244"/>
      <c r="P171" s="244"/>
    </row>
    <row r="172" spans="5:16">
      <c r="E172" s="244"/>
      <c r="F172" s="244"/>
      <c r="G172" s="244"/>
      <c r="H172" s="244"/>
      <c r="I172" s="244"/>
      <c r="J172" s="244"/>
      <c r="K172" s="244"/>
      <c r="L172" s="244"/>
      <c r="M172" s="244"/>
      <c r="N172" s="244"/>
      <c r="O172" s="244"/>
      <c r="P172" s="244"/>
    </row>
    <row r="173" spans="5:16">
      <c r="E173" s="244"/>
      <c r="F173" s="244"/>
      <c r="G173" s="244"/>
      <c r="H173" s="244"/>
      <c r="I173" s="244"/>
      <c r="J173" s="244"/>
      <c r="K173" s="244"/>
      <c r="L173" s="244"/>
      <c r="M173" s="244"/>
      <c r="N173" s="244"/>
      <c r="O173" s="244"/>
      <c r="P173" s="244"/>
    </row>
    <row r="174" spans="5:16">
      <c r="E174" s="244"/>
      <c r="F174" s="244"/>
      <c r="G174" s="244"/>
      <c r="H174" s="244"/>
      <c r="I174" s="244"/>
      <c r="J174" s="244"/>
      <c r="K174" s="244"/>
      <c r="L174" s="244"/>
      <c r="M174" s="244"/>
      <c r="N174" s="244"/>
      <c r="O174" s="244"/>
      <c r="P174" s="244"/>
    </row>
    <row r="175" spans="5:16">
      <c r="E175" s="244"/>
      <c r="F175" s="244"/>
      <c r="G175" s="244"/>
      <c r="H175" s="244"/>
      <c r="I175" s="244"/>
      <c r="J175" s="244"/>
      <c r="K175" s="244"/>
      <c r="L175" s="244"/>
      <c r="M175" s="244"/>
      <c r="N175" s="244"/>
      <c r="O175" s="244"/>
      <c r="P175" s="244"/>
    </row>
    <row r="176" spans="5:16">
      <c r="E176" s="244"/>
      <c r="F176" s="244"/>
      <c r="G176" s="244"/>
      <c r="H176" s="244"/>
      <c r="I176" s="244"/>
      <c r="J176" s="244"/>
      <c r="K176" s="244"/>
      <c r="L176" s="244"/>
      <c r="M176" s="244"/>
      <c r="N176" s="244"/>
      <c r="O176" s="244"/>
      <c r="P176" s="244"/>
    </row>
    <row r="177" spans="5:16">
      <c r="E177" s="244"/>
      <c r="F177" s="244"/>
      <c r="G177" s="244"/>
      <c r="H177" s="244"/>
      <c r="I177" s="244"/>
      <c r="J177" s="244"/>
      <c r="K177" s="244"/>
      <c r="L177" s="244"/>
      <c r="M177" s="244"/>
      <c r="N177" s="244"/>
      <c r="O177" s="244"/>
      <c r="P177" s="244"/>
    </row>
    <row r="178" spans="5:16">
      <c r="E178" s="244"/>
      <c r="F178" s="244"/>
      <c r="G178" s="244"/>
      <c r="H178" s="244"/>
      <c r="I178" s="244"/>
      <c r="J178" s="244"/>
      <c r="K178" s="244"/>
      <c r="L178" s="244"/>
      <c r="M178" s="244"/>
      <c r="N178" s="244"/>
      <c r="O178" s="244"/>
      <c r="P178" s="244"/>
    </row>
    <row r="179" spans="5:16">
      <c r="E179" s="244"/>
      <c r="F179" s="244"/>
      <c r="G179" s="244"/>
      <c r="H179" s="244"/>
      <c r="I179" s="244"/>
      <c r="J179" s="244"/>
      <c r="K179" s="244"/>
      <c r="L179" s="244"/>
      <c r="M179" s="244"/>
      <c r="N179" s="244"/>
      <c r="O179" s="244"/>
      <c r="P179" s="244"/>
    </row>
    <row r="180" spans="5:16">
      <c r="E180" s="244"/>
      <c r="F180" s="244"/>
      <c r="G180" s="244"/>
      <c r="H180" s="244"/>
      <c r="I180" s="244"/>
      <c r="J180" s="244"/>
      <c r="K180" s="244"/>
      <c r="L180" s="244"/>
      <c r="M180" s="244"/>
      <c r="N180" s="244"/>
      <c r="O180" s="244"/>
      <c r="P180" s="244"/>
    </row>
    <row r="181" spans="5:16">
      <c r="E181" s="244"/>
      <c r="F181" s="244"/>
      <c r="G181" s="244"/>
      <c r="H181" s="244"/>
      <c r="I181" s="244"/>
      <c r="J181" s="244"/>
      <c r="K181" s="244"/>
      <c r="L181" s="244"/>
      <c r="M181" s="244"/>
      <c r="N181" s="244"/>
      <c r="O181" s="244"/>
      <c r="P181" s="244"/>
    </row>
    <row r="182" spans="5:16">
      <c r="E182" s="244"/>
      <c r="F182" s="244"/>
      <c r="G182" s="244"/>
      <c r="H182" s="244"/>
      <c r="I182" s="244"/>
      <c r="J182" s="244"/>
      <c r="K182" s="244"/>
      <c r="L182" s="244"/>
      <c r="M182" s="244"/>
      <c r="N182" s="244"/>
      <c r="O182" s="244"/>
      <c r="P182" s="244"/>
    </row>
    <row r="183" spans="5:16">
      <c r="E183" s="244"/>
      <c r="F183" s="244"/>
      <c r="G183" s="244"/>
      <c r="H183" s="244"/>
      <c r="I183" s="244"/>
      <c r="J183" s="244"/>
      <c r="K183" s="244"/>
      <c r="L183" s="244"/>
      <c r="M183" s="244"/>
      <c r="N183" s="244"/>
      <c r="O183" s="244"/>
      <c r="P183" s="244"/>
    </row>
    <row r="184" spans="5:16">
      <c r="E184" s="244"/>
      <c r="F184" s="244"/>
      <c r="G184" s="244"/>
      <c r="H184" s="244"/>
      <c r="I184" s="244"/>
      <c r="J184" s="244"/>
      <c r="K184" s="244"/>
      <c r="L184" s="244"/>
      <c r="M184" s="244"/>
      <c r="N184" s="244"/>
      <c r="O184" s="244"/>
      <c r="P184" s="244"/>
    </row>
    <row r="185" spans="5:16">
      <c r="E185" s="244"/>
      <c r="F185" s="244"/>
      <c r="G185" s="244"/>
      <c r="H185" s="244"/>
      <c r="I185" s="244"/>
      <c r="J185" s="244"/>
      <c r="K185" s="244"/>
      <c r="L185" s="244"/>
      <c r="M185" s="244"/>
      <c r="N185" s="244"/>
      <c r="O185" s="244"/>
      <c r="P185" s="244"/>
    </row>
    <row r="186" spans="5:16">
      <c r="E186" s="244"/>
      <c r="F186" s="244"/>
      <c r="G186" s="244"/>
      <c r="H186" s="244"/>
      <c r="I186" s="244"/>
      <c r="J186" s="244"/>
      <c r="K186" s="244"/>
      <c r="L186" s="244"/>
      <c r="M186" s="244"/>
      <c r="N186" s="244"/>
      <c r="O186" s="244"/>
      <c r="P186" s="244"/>
    </row>
    <row r="187" spans="5:16">
      <c r="E187" s="244"/>
      <c r="F187" s="244"/>
      <c r="G187" s="244"/>
      <c r="H187" s="244"/>
      <c r="I187" s="244"/>
      <c r="J187" s="244"/>
      <c r="K187" s="244"/>
      <c r="L187" s="244"/>
      <c r="M187" s="244"/>
      <c r="N187" s="244"/>
      <c r="O187" s="244"/>
      <c r="P187" s="244"/>
    </row>
    <row r="188" spans="5:16">
      <c r="E188" s="244"/>
      <c r="F188" s="244"/>
      <c r="G188" s="244"/>
      <c r="H188" s="244"/>
      <c r="I188" s="244"/>
      <c r="J188" s="244"/>
      <c r="K188" s="244"/>
      <c r="L188" s="244"/>
      <c r="M188" s="244"/>
      <c r="N188" s="244"/>
      <c r="O188" s="244"/>
      <c r="P188" s="244"/>
    </row>
    <row r="189" spans="5:16">
      <c r="E189" s="244"/>
      <c r="F189" s="244"/>
      <c r="G189" s="244"/>
      <c r="H189" s="244"/>
      <c r="I189" s="244"/>
      <c r="J189" s="244"/>
      <c r="K189" s="244"/>
      <c r="L189" s="244"/>
      <c r="M189" s="244"/>
      <c r="N189" s="244"/>
      <c r="O189" s="244"/>
      <c r="P189" s="244"/>
    </row>
    <row r="190" spans="5:16">
      <c r="E190" s="244"/>
      <c r="F190" s="244"/>
      <c r="G190" s="244"/>
      <c r="H190" s="244"/>
      <c r="I190" s="244"/>
      <c r="J190" s="244"/>
      <c r="K190" s="244"/>
      <c r="L190" s="244"/>
      <c r="M190" s="244"/>
      <c r="N190" s="244"/>
      <c r="O190" s="244"/>
      <c r="P190" s="244"/>
    </row>
    <row r="191" spans="5:16">
      <c r="E191" s="244"/>
      <c r="F191" s="244"/>
      <c r="G191" s="244"/>
      <c r="H191" s="244"/>
      <c r="I191" s="244"/>
      <c r="J191" s="244"/>
      <c r="K191" s="244"/>
      <c r="L191" s="244"/>
      <c r="M191" s="244"/>
      <c r="N191" s="244"/>
      <c r="O191" s="244"/>
      <c r="P191" s="244"/>
    </row>
    <row r="192" spans="5:16">
      <c r="E192" s="244"/>
      <c r="F192" s="244"/>
      <c r="G192" s="244"/>
      <c r="H192" s="244"/>
      <c r="I192" s="244"/>
      <c r="J192" s="244"/>
      <c r="K192" s="244"/>
      <c r="L192" s="244"/>
      <c r="M192" s="244"/>
      <c r="N192" s="244"/>
      <c r="O192" s="244"/>
      <c r="P192" s="244"/>
    </row>
    <row r="193" spans="5:16">
      <c r="E193" s="244"/>
      <c r="F193" s="244"/>
      <c r="G193" s="244"/>
      <c r="H193" s="244"/>
      <c r="I193" s="244"/>
      <c r="J193" s="244"/>
      <c r="K193" s="244"/>
      <c r="L193" s="244"/>
      <c r="M193" s="244"/>
      <c r="N193" s="244"/>
      <c r="O193" s="244"/>
      <c r="P193" s="244"/>
    </row>
    <row r="194" spans="5:16">
      <c r="E194" s="244"/>
      <c r="F194" s="244"/>
      <c r="G194" s="244"/>
      <c r="H194" s="244"/>
      <c r="I194" s="244"/>
      <c r="J194" s="244"/>
      <c r="K194" s="244"/>
      <c r="L194" s="244"/>
      <c r="M194" s="244"/>
      <c r="N194" s="244"/>
      <c r="O194" s="244"/>
      <c r="P194" s="244"/>
    </row>
    <row r="195" spans="5:16">
      <c r="E195" s="244"/>
      <c r="F195" s="244"/>
      <c r="G195" s="244"/>
      <c r="H195" s="244"/>
      <c r="I195" s="244"/>
      <c r="J195" s="244"/>
      <c r="K195" s="244"/>
      <c r="L195" s="244"/>
      <c r="M195" s="244"/>
      <c r="N195" s="244"/>
      <c r="O195" s="244"/>
      <c r="P195" s="244"/>
    </row>
    <row r="196" spans="5:16">
      <c r="E196" s="244"/>
      <c r="F196" s="244"/>
      <c r="G196" s="244"/>
      <c r="H196" s="244"/>
      <c r="I196" s="244"/>
      <c r="J196" s="244"/>
      <c r="K196" s="244"/>
      <c r="L196" s="244"/>
      <c r="M196" s="244"/>
      <c r="N196" s="244"/>
      <c r="O196" s="244"/>
      <c r="P196" s="244"/>
    </row>
    <row r="197" spans="5:16">
      <c r="E197" s="244"/>
      <c r="F197" s="244"/>
      <c r="G197" s="244"/>
      <c r="H197" s="244"/>
      <c r="I197" s="244"/>
      <c r="J197" s="244"/>
      <c r="K197" s="244"/>
      <c r="L197" s="244"/>
      <c r="M197" s="244"/>
      <c r="N197" s="244"/>
      <c r="O197" s="244"/>
      <c r="P197" s="244"/>
    </row>
    <row r="198" spans="5:16">
      <c r="E198" s="244"/>
      <c r="F198" s="244"/>
      <c r="G198" s="244"/>
      <c r="H198" s="244"/>
      <c r="I198" s="244"/>
      <c r="J198" s="244"/>
      <c r="K198" s="244"/>
      <c r="L198" s="244"/>
      <c r="M198" s="244"/>
      <c r="N198" s="244"/>
      <c r="O198" s="244"/>
      <c r="P198" s="244"/>
    </row>
    <row r="199" spans="5:16">
      <c r="E199" s="244"/>
      <c r="F199" s="244"/>
      <c r="G199" s="244"/>
      <c r="H199" s="244"/>
      <c r="I199" s="244"/>
      <c r="J199" s="244"/>
      <c r="K199" s="244"/>
      <c r="L199" s="244"/>
      <c r="M199" s="244"/>
      <c r="N199" s="244"/>
      <c r="O199" s="244"/>
      <c r="P199" s="244"/>
    </row>
    <row r="200" spans="5:16">
      <c r="E200" s="244"/>
      <c r="F200" s="244"/>
      <c r="G200" s="244"/>
      <c r="H200" s="244"/>
      <c r="I200" s="244"/>
      <c r="J200" s="244"/>
      <c r="K200" s="244"/>
      <c r="L200" s="244"/>
      <c r="M200" s="244"/>
      <c r="N200" s="244"/>
      <c r="O200" s="244"/>
      <c r="P200" s="244"/>
    </row>
    <row r="201" spans="5:16">
      <c r="E201" s="244"/>
      <c r="F201" s="244"/>
      <c r="G201" s="244"/>
      <c r="H201" s="244"/>
      <c r="I201" s="244"/>
      <c r="J201" s="244"/>
      <c r="K201" s="244"/>
      <c r="L201" s="244"/>
      <c r="M201" s="244"/>
      <c r="N201" s="244"/>
      <c r="O201" s="244"/>
      <c r="P201" s="244"/>
    </row>
    <row r="202" spans="5:16">
      <c r="E202" s="244"/>
      <c r="F202" s="244"/>
      <c r="G202" s="244"/>
      <c r="H202" s="244"/>
      <c r="I202" s="244"/>
      <c r="J202" s="244"/>
      <c r="K202" s="244"/>
      <c r="L202" s="244"/>
      <c r="M202" s="244"/>
      <c r="N202" s="244"/>
      <c r="O202" s="244"/>
      <c r="P202" s="244"/>
    </row>
    <row r="203" spans="5:16">
      <c r="E203" s="244"/>
      <c r="F203" s="244"/>
      <c r="G203" s="244"/>
      <c r="H203" s="244"/>
      <c r="I203" s="244"/>
      <c r="J203" s="244"/>
      <c r="K203" s="244"/>
      <c r="L203" s="244"/>
      <c r="M203" s="244"/>
      <c r="N203" s="244"/>
      <c r="O203" s="244"/>
      <c r="P203" s="244"/>
    </row>
    <row r="204" spans="5:16">
      <c r="E204" s="244"/>
      <c r="F204" s="244"/>
      <c r="G204" s="244"/>
      <c r="H204" s="244"/>
      <c r="I204" s="244"/>
      <c r="J204" s="244"/>
      <c r="K204" s="244"/>
      <c r="L204" s="244"/>
      <c r="M204" s="244"/>
      <c r="N204" s="244"/>
      <c r="O204" s="244"/>
      <c r="P204" s="244"/>
    </row>
    <row r="205" spans="5:16">
      <c r="E205" s="244"/>
      <c r="F205" s="244"/>
      <c r="G205" s="244"/>
      <c r="H205" s="244"/>
      <c r="I205" s="244"/>
      <c r="J205" s="244"/>
      <c r="K205" s="244"/>
      <c r="L205" s="244"/>
      <c r="M205" s="244"/>
      <c r="N205" s="244"/>
      <c r="O205" s="244"/>
      <c r="P205" s="244"/>
    </row>
    <row r="206" spans="5:16">
      <c r="E206" s="244"/>
      <c r="F206" s="244"/>
      <c r="G206" s="244"/>
      <c r="H206" s="244"/>
      <c r="I206" s="244"/>
      <c r="J206" s="244"/>
      <c r="K206" s="244"/>
      <c r="L206" s="244"/>
      <c r="M206" s="244"/>
      <c r="N206" s="244"/>
      <c r="O206" s="244"/>
      <c r="P206" s="244"/>
    </row>
    <row r="207" spans="5:16">
      <c r="E207" s="244"/>
      <c r="F207" s="244"/>
      <c r="G207" s="244"/>
      <c r="H207" s="244"/>
      <c r="I207" s="244"/>
      <c r="J207" s="244"/>
      <c r="K207" s="244"/>
      <c r="L207" s="244"/>
      <c r="M207" s="244"/>
      <c r="N207" s="244"/>
      <c r="O207" s="244"/>
      <c r="P207" s="244"/>
    </row>
    <row r="208" spans="5:16">
      <c r="E208" s="244"/>
      <c r="F208" s="244"/>
      <c r="G208" s="244"/>
      <c r="H208" s="244"/>
      <c r="I208" s="244"/>
      <c r="J208" s="244"/>
      <c r="K208" s="244"/>
      <c r="L208" s="244"/>
      <c r="M208" s="244"/>
      <c r="N208" s="244"/>
      <c r="O208" s="244"/>
      <c r="P208" s="244"/>
    </row>
    <row r="209" spans="5:16">
      <c r="E209" s="244"/>
      <c r="F209" s="244"/>
      <c r="G209" s="244"/>
      <c r="H209" s="244"/>
      <c r="I209" s="244"/>
      <c r="J209" s="244"/>
      <c r="K209" s="244"/>
      <c r="L209" s="244"/>
      <c r="M209" s="244"/>
      <c r="N209" s="244"/>
      <c r="O209" s="244"/>
      <c r="P209" s="244"/>
    </row>
    <row r="210" spans="5:16">
      <c r="E210" s="244"/>
      <c r="F210" s="244"/>
      <c r="G210" s="244"/>
      <c r="H210" s="244"/>
      <c r="I210" s="244"/>
      <c r="J210" s="244"/>
      <c r="K210" s="244"/>
      <c r="L210" s="244"/>
      <c r="M210" s="244"/>
      <c r="N210" s="244"/>
      <c r="O210" s="244"/>
      <c r="P210" s="244"/>
    </row>
    <row r="211" spans="5:16">
      <c r="E211" s="244"/>
      <c r="F211" s="244"/>
      <c r="G211" s="244"/>
      <c r="H211" s="244"/>
      <c r="I211" s="244"/>
      <c r="J211" s="244"/>
      <c r="K211" s="244"/>
      <c r="L211" s="244"/>
      <c r="M211" s="244"/>
      <c r="N211" s="244"/>
      <c r="O211" s="244"/>
      <c r="P211" s="244"/>
    </row>
    <row r="212" spans="5:16">
      <c r="E212" s="244"/>
      <c r="F212" s="244"/>
      <c r="G212" s="244"/>
      <c r="H212" s="244"/>
      <c r="I212" s="244"/>
      <c r="J212" s="244"/>
      <c r="K212" s="244"/>
      <c r="L212" s="244"/>
      <c r="M212" s="244"/>
      <c r="N212" s="244"/>
      <c r="O212" s="244"/>
      <c r="P212" s="244"/>
    </row>
    <row r="213" spans="5:16">
      <c r="E213" s="244"/>
      <c r="F213" s="244"/>
      <c r="G213" s="244"/>
      <c r="H213" s="244"/>
      <c r="I213" s="244"/>
      <c r="J213" s="244"/>
      <c r="K213" s="244"/>
      <c r="L213" s="244"/>
      <c r="M213" s="244"/>
      <c r="N213" s="244"/>
      <c r="O213" s="244"/>
      <c r="P213" s="244"/>
    </row>
    <row r="214" spans="5:16">
      <c r="E214" s="244"/>
      <c r="F214" s="244"/>
      <c r="G214" s="244"/>
      <c r="H214" s="244"/>
      <c r="I214" s="244"/>
      <c r="J214" s="244"/>
      <c r="K214" s="244"/>
      <c r="L214" s="244"/>
      <c r="M214" s="244"/>
      <c r="N214" s="244"/>
      <c r="O214" s="244"/>
      <c r="P214" s="244"/>
    </row>
    <row r="215" spans="5:16">
      <c r="E215" s="244"/>
      <c r="F215" s="244"/>
      <c r="G215" s="244"/>
      <c r="H215" s="244"/>
      <c r="I215" s="244"/>
      <c r="J215" s="244"/>
      <c r="K215" s="244"/>
      <c r="L215" s="244"/>
      <c r="M215" s="244"/>
      <c r="N215" s="244"/>
      <c r="O215" s="244"/>
      <c r="P215" s="244"/>
    </row>
    <row r="216" spans="5:16">
      <c r="E216" s="244"/>
      <c r="F216" s="244"/>
      <c r="G216" s="244"/>
      <c r="H216" s="244"/>
      <c r="I216" s="244"/>
      <c r="J216" s="244"/>
      <c r="K216" s="244"/>
      <c r="L216" s="244"/>
      <c r="M216" s="244"/>
      <c r="N216" s="244"/>
      <c r="O216" s="244"/>
      <c r="P216" s="244"/>
    </row>
    <row r="217" spans="5:16">
      <c r="E217" s="244"/>
      <c r="F217" s="244"/>
      <c r="G217" s="244"/>
      <c r="H217" s="244"/>
      <c r="I217" s="244"/>
      <c r="J217" s="244"/>
      <c r="K217" s="244"/>
      <c r="L217" s="244"/>
      <c r="M217" s="244"/>
      <c r="N217" s="244"/>
      <c r="O217" s="244"/>
      <c r="P217" s="244"/>
    </row>
    <row r="218" spans="5:16">
      <c r="E218" s="244"/>
      <c r="F218" s="244"/>
      <c r="G218" s="244"/>
      <c r="H218" s="244"/>
      <c r="I218" s="244"/>
      <c r="J218" s="244"/>
      <c r="K218" s="244"/>
      <c r="L218" s="244"/>
      <c r="M218" s="244"/>
      <c r="N218" s="244"/>
      <c r="O218" s="244"/>
      <c r="P218" s="244"/>
    </row>
    <row r="219" spans="5:16">
      <c r="E219" s="244"/>
      <c r="F219" s="244"/>
      <c r="G219" s="244"/>
      <c r="H219" s="244"/>
      <c r="I219" s="244"/>
      <c r="J219" s="244"/>
      <c r="K219" s="244"/>
      <c r="L219" s="244"/>
      <c r="M219" s="244"/>
      <c r="N219" s="244"/>
      <c r="O219" s="244"/>
      <c r="P219" s="244"/>
    </row>
    <row r="220" spans="5:16">
      <c r="E220" s="244"/>
      <c r="F220" s="244"/>
      <c r="G220" s="244"/>
      <c r="H220" s="244"/>
      <c r="I220" s="244"/>
      <c r="J220" s="244"/>
      <c r="K220" s="244"/>
      <c r="L220" s="244"/>
      <c r="M220" s="244"/>
      <c r="N220" s="244"/>
      <c r="O220" s="244"/>
      <c r="P220" s="244"/>
    </row>
    <row r="221" spans="5:16">
      <c r="E221" s="244"/>
      <c r="F221" s="244"/>
      <c r="G221" s="244"/>
      <c r="H221" s="244"/>
      <c r="I221" s="244"/>
      <c r="J221" s="244"/>
      <c r="K221" s="244"/>
      <c r="L221" s="244"/>
      <c r="M221" s="244"/>
      <c r="N221" s="244"/>
      <c r="O221" s="244"/>
      <c r="P221" s="244"/>
    </row>
    <row r="222" spans="5:16">
      <c r="E222" s="244"/>
      <c r="F222" s="244"/>
      <c r="G222" s="244"/>
      <c r="H222" s="244"/>
      <c r="I222" s="244"/>
      <c r="J222" s="244"/>
      <c r="K222" s="244"/>
      <c r="L222" s="244"/>
      <c r="M222" s="244"/>
      <c r="N222" s="244"/>
      <c r="O222" s="244"/>
      <c r="P222" s="244"/>
    </row>
    <row r="223" spans="5:16">
      <c r="E223" s="244"/>
      <c r="F223" s="244"/>
      <c r="G223" s="244"/>
      <c r="H223" s="244"/>
      <c r="I223" s="244"/>
      <c r="J223" s="244"/>
      <c r="K223" s="244"/>
      <c r="L223" s="244"/>
      <c r="M223" s="244"/>
      <c r="N223" s="244"/>
      <c r="O223" s="244"/>
      <c r="P223" s="244"/>
    </row>
    <row r="224" spans="5:16">
      <c r="E224" s="244"/>
      <c r="F224" s="244"/>
      <c r="G224" s="244"/>
      <c r="H224" s="244"/>
      <c r="I224" s="244"/>
      <c r="J224" s="244"/>
      <c r="K224" s="244"/>
      <c r="L224" s="244"/>
      <c r="M224" s="244"/>
      <c r="N224" s="244"/>
      <c r="O224" s="244"/>
      <c r="P224" s="244"/>
    </row>
    <row r="225" spans="5:16">
      <c r="E225" s="244"/>
      <c r="F225" s="244"/>
      <c r="G225" s="244"/>
      <c r="H225" s="244"/>
      <c r="I225" s="244"/>
      <c r="J225" s="244"/>
      <c r="K225" s="244"/>
      <c r="L225" s="244"/>
      <c r="M225" s="244"/>
      <c r="N225" s="244"/>
      <c r="O225" s="244"/>
      <c r="P225" s="244"/>
    </row>
    <row r="226" spans="5:16">
      <c r="E226" s="244"/>
      <c r="F226" s="244"/>
      <c r="G226" s="244"/>
      <c r="H226" s="244"/>
      <c r="I226" s="244"/>
      <c r="J226" s="244"/>
      <c r="K226" s="244"/>
      <c r="L226" s="244"/>
      <c r="M226" s="244"/>
      <c r="N226" s="244"/>
      <c r="O226" s="244"/>
      <c r="P226" s="244"/>
    </row>
    <row r="227" spans="5:16">
      <c r="E227" s="244"/>
      <c r="F227" s="244"/>
      <c r="G227" s="244"/>
      <c r="H227" s="244"/>
      <c r="I227" s="244"/>
      <c r="J227" s="244"/>
      <c r="K227" s="244"/>
      <c r="L227" s="244"/>
      <c r="M227" s="244"/>
      <c r="N227" s="244"/>
      <c r="O227" s="244"/>
      <c r="P227" s="244"/>
    </row>
    <row r="228" spans="5:16">
      <c r="E228" s="244"/>
      <c r="F228" s="244"/>
      <c r="G228" s="244"/>
      <c r="H228" s="244"/>
      <c r="I228" s="244"/>
      <c r="J228" s="244"/>
      <c r="K228" s="244"/>
      <c r="L228" s="244"/>
      <c r="M228" s="244"/>
      <c r="N228" s="244"/>
      <c r="O228" s="244"/>
      <c r="P228" s="244"/>
    </row>
    <row r="229" spans="5:16">
      <c r="E229" s="244"/>
      <c r="F229" s="244"/>
      <c r="G229" s="244"/>
      <c r="H229" s="244"/>
      <c r="I229" s="244"/>
      <c r="J229" s="244"/>
      <c r="K229" s="244"/>
      <c r="L229" s="244"/>
      <c r="M229" s="244"/>
      <c r="N229" s="244"/>
      <c r="O229" s="244"/>
      <c r="P229" s="244"/>
    </row>
    <row r="230" spans="5:16">
      <c r="E230" s="244"/>
      <c r="F230" s="244"/>
      <c r="G230" s="244"/>
      <c r="H230" s="244"/>
      <c r="I230" s="244"/>
      <c r="J230" s="244"/>
      <c r="K230" s="244"/>
      <c r="L230" s="244"/>
      <c r="M230" s="244"/>
      <c r="N230" s="244"/>
      <c r="O230" s="244"/>
      <c r="P230" s="244"/>
    </row>
    <row r="231" spans="5:16">
      <c r="E231" s="244"/>
      <c r="F231" s="244"/>
      <c r="G231" s="244"/>
      <c r="H231" s="244"/>
      <c r="I231" s="244"/>
      <c r="J231" s="244"/>
      <c r="K231" s="244"/>
      <c r="L231" s="244"/>
      <c r="M231" s="244"/>
      <c r="N231" s="244"/>
      <c r="O231" s="244"/>
      <c r="P231" s="244"/>
    </row>
    <row r="232" spans="5:16">
      <c r="E232" s="244"/>
      <c r="F232" s="244"/>
      <c r="G232" s="244"/>
      <c r="H232" s="244"/>
      <c r="I232" s="244"/>
      <c r="J232" s="244"/>
      <c r="K232" s="244"/>
      <c r="L232" s="244"/>
      <c r="M232" s="244"/>
      <c r="N232" s="244"/>
      <c r="O232" s="244"/>
      <c r="P232" s="244"/>
    </row>
    <row r="233" spans="5:16">
      <c r="E233" s="244"/>
      <c r="F233" s="244"/>
      <c r="G233" s="244"/>
      <c r="H233" s="244"/>
      <c r="I233" s="244"/>
      <c r="J233" s="244"/>
      <c r="K233" s="244"/>
      <c r="L233" s="244"/>
      <c r="M233" s="244"/>
      <c r="N233" s="244"/>
      <c r="O233" s="244"/>
      <c r="P233" s="244"/>
    </row>
    <row r="234" spans="5:16">
      <c r="E234" s="244"/>
      <c r="F234" s="244"/>
      <c r="G234" s="244"/>
      <c r="H234" s="244"/>
      <c r="I234" s="244"/>
      <c r="J234" s="244"/>
      <c r="K234" s="244"/>
      <c r="L234" s="244"/>
      <c r="M234" s="244"/>
      <c r="N234" s="244"/>
      <c r="O234" s="244"/>
      <c r="P234" s="244"/>
    </row>
    <row r="235" spans="5:16">
      <c r="E235" s="244"/>
      <c r="F235" s="244"/>
      <c r="G235" s="244"/>
      <c r="H235" s="244"/>
      <c r="I235" s="244"/>
      <c r="J235" s="244"/>
      <c r="K235" s="244"/>
      <c r="L235" s="244"/>
      <c r="M235" s="244"/>
      <c r="N235" s="244"/>
      <c r="O235" s="244"/>
      <c r="P235" s="244"/>
    </row>
    <row r="236" spans="5:16">
      <c r="E236" s="244"/>
      <c r="F236" s="244"/>
      <c r="G236" s="244"/>
      <c r="H236" s="244"/>
      <c r="I236" s="244"/>
      <c r="J236" s="244"/>
      <c r="K236" s="244"/>
      <c r="L236" s="244"/>
      <c r="M236" s="244"/>
      <c r="N236" s="244"/>
      <c r="O236" s="244"/>
      <c r="P236" s="244"/>
    </row>
    <row r="237" spans="5:16">
      <c r="E237" s="244"/>
      <c r="F237" s="244"/>
      <c r="G237" s="244"/>
      <c r="H237" s="244"/>
      <c r="I237" s="244"/>
      <c r="J237" s="244"/>
      <c r="K237" s="244"/>
      <c r="L237" s="244"/>
      <c r="M237" s="244"/>
      <c r="N237" s="244"/>
      <c r="O237" s="244"/>
      <c r="P237" s="244"/>
    </row>
    <row r="238" spans="5:16">
      <c r="E238" s="244"/>
      <c r="F238" s="244"/>
      <c r="G238" s="244"/>
      <c r="H238" s="244"/>
      <c r="I238" s="244"/>
      <c r="J238" s="244"/>
      <c r="K238" s="244"/>
      <c r="L238" s="244"/>
      <c r="M238" s="244"/>
      <c r="N238" s="244"/>
      <c r="O238" s="244"/>
      <c r="P238" s="244"/>
    </row>
    <row r="239" spans="5:16">
      <c r="E239" s="244"/>
      <c r="F239" s="244"/>
      <c r="G239" s="244"/>
      <c r="H239" s="244"/>
      <c r="I239" s="244"/>
      <c r="J239" s="244"/>
      <c r="K239" s="244"/>
      <c r="L239" s="244"/>
      <c r="M239" s="244"/>
      <c r="N239" s="244"/>
      <c r="O239" s="244"/>
      <c r="P239" s="244"/>
    </row>
    <row r="240" spans="5:16">
      <c r="E240" s="244"/>
      <c r="F240" s="244"/>
      <c r="G240" s="244"/>
      <c r="H240" s="244"/>
      <c r="I240" s="244"/>
      <c r="J240" s="244"/>
      <c r="K240" s="244"/>
      <c r="L240" s="244"/>
      <c r="M240" s="244"/>
      <c r="N240" s="244"/>
      <c r="O240" s="244"/>
      <c r="P240" s="244"/>
    </row>
    <row r="241" spans="5:16">
      <c r="E241" s="244"/>
      <c r="F241" s="244"/>
      <c r="G241" s="244"/>
      <c r="H241" s="244"/>
      <c r="I241" s="244"/>
      <c r="J241" s="244"/>
      <c r="K241" s="244"/>
      <c r="L241" s="244"/>
      <c r="M241" s="244"/>
      <c r="N241" s="244"/>
      <c r="O241" s="244"/>
      <c r="P241" s="244"/>
    </row>
    <row r="242" spans="5:16">
      <c r="E242" s="244"/>
      <c r="F242" s="244"/>
      <c r="G242" s="244"/>
      <c r="H242" s="244"/>
      <c r="I242" s="244"/>
      <c r="J242" s="244"/>
      <c r="K242" s="244"/>
      <c r="L242" s="244"/>
      <c r="M242" s="244"/>
      <c r="N242" s="244"/>
      <c r="O242" s="244"/>
      <c r="P242" s="244"/>
    </row>
    <row r="243" spans="5:16">
      <c r="E243" s="244"/>
      <c r="F243" s="244"/>
      <c r="G243" s="244"/>
      <c r="H243" s="244"/>
      <c r="I243" s="244"/>
      <c r="J243" s="244"/>
      <c r="K243" s="244"/>
      <c r="L243" s="244"/>
      <c r="M243" s="244"/>
      <c r="N243" s="244"/>
      <c r="O243" s="244"/>
      <c r="P243" s="244"/>
    </row>
    <row r="244" spans="5:16">
      <c r="E244" s="244"/>
      <c r="F244" s="244"/>
      <c r="G244" s="244"/>
      <c r="H244" s="244"/>
      <c r="I244" s="244"/>
      <c r="J244" s="244"/>
      <c r="K244" s="244"/>
      <c r="L244" s="244"/>
      <c r="M244" s="244"/>
      <c r="N244" s="244"/>
      <c r="O244" s="244"/>
      <c r="P244" s="244"/>
    </row>
    <row r="245" spans="5:16">
      <c r="E245" s="244"/>
      <c r="F245" s="244"/>
      <c r="G245" s="244"/>
      <c r="H245" s="244"/>
      <c r="I245" s="244"/>
      <c r="J245" s="244"/>
      <c r="K245" s="244"/>
      <c r="L245" s="244"/>
      <c r="M245" s="244"/>
      <c r="N245" s="244"/>
      <c r="O245" s="244"/>
      <c r="P245" s="244"/>
    </row>
    <row r="246" spans="5:16">
      <c r="E246" s="244"/>
      <c r="F246" s="244"/>
      <c r="G246" s="244"/>
      <c r="H246" s="244"/>
      <c r="I246" s="244"/>
      <c r="J246" s="244"/>
      <c r="K246" s="244"/>
      <c r="L246" s="244"/>
      <c r="M246" s="244"/>
      <c r="N246" s="244"/>
      <c r="O246" s="244"/>
      <c r="P246" s="244"/>
    </row>
    <row r="247" spans="5:16">
      <c r="E247" s="244"/>
      <c r="F247" s="244"/>
      <c r="G247" s="244"/>
      <c r="H247" s="244"/>
      <c r="I247" s="244"/>
      <c r="J247" s="244"/>
      <c r="K247" s="244"/>
      <c r="L247" s="244"/>
      <c r="M247" s="244"/>
      <c r="N247" s="244"/>
      <c r="O247" s="244"/>
      <c r="P247" s="244"/>
    </row>
    <row r="248" spans="5:16">
      <c r="E248" s="244"/>
      <c r="F248" s="244"/>
      <c r="G248" s="244"/>
      <c r="H248" s="244"/>
      <c r="I248" s="244"/>
      <c r="J248" s="244"/>
      <c r="K248" s="244"/>
      <c r="L248" s="244"/>
      <c r="M248" s="244"/>
      <c r="N248" s="244"/>
      <c r="O248" s="244"/>
      <c r="P248" s="244"/>
    </row>
    <row r="249" spans="5:16">
      <c r="E249" s="244"/>
      <c r="F249" s="244"/>
      <c r="G249" s="244"/>
      <c r="H249" s="244"/>
      <c r="I249" s="244"/>
      <c r="J249" s="244"/>
      <c r="K249" s="244"/>
      <c r="L249" s="244"/>
      <c r="M249" s="244"/>
      <c r="N249" s="244"/>
      <c r="O249" s="244"/>
      <c r="P249" s="244"/>
    </row>
    <row r="250" spans="5:16">
      <c r="E250" s="244"/>
      <c r="F250" s="244"/>
      <c r="G250" s="244"/>
      <c r="H250" s="244"/>
      <c r="I250" s="244"/>
      <c r="J250" s="244"/>
      <c r="K250" s="244"/>
      <c r="L250" s="244"/>
      <c r="M250" s="244"/>
      <c r="N250" s="244"/>
      <c r="O250" s="244"/>
      <c r="P250" s="244"/>
    </row>
    <row r="251" spans="5:16">
      <c r="E251" s="244"/>
      <c r="F251" s="244"/>
      <c r="G251" s="244"/>
      <c r="H251" s="244"/>
      <c r="I251" s="244"/>
      <c r="J251" s="244"/>
      <c r="K251" s="244"/>
      <c r="L251" s="244"/>
      <c r="M251" s="244"/>
      <c r="N251" s="244"/>
      <c r="O251" s="244"/>
      <c r="P251" s="244"/>
    </row>
    <row r="252" spans="5:16">
      <c r="E252" s="244"/>
      <c r="F252" s="244"/>
      <c r="G252" s="244"/>
      <c r="H252" s="244"/>
      <c r="I252" s="244"/>
      <c r="J252" s="244"/>
      <c r="K252" s="244"/>
      <c r="L252" s="244"/>
      <c r="M252" s="244"/>
      <c r="N252" s="244"/>
      <c r="O252" s="244"/>
      <c r="P252" s="244"/>
    </row>
    <row r="253" spans="5:16">
      <c r="E253" s="244"/>
      <c r="F253" s="244"/>
      <c r="G253" s="244"/>
      <c r="H253" s="244"/>
      <c r="I253" s="244"/>
      <c r="J253" s="244"/>
      <c r="K253" s="244"/>
      <c r="L253" s="244"/>
      <c r="M253" s="244"/>
      <c r="N253" s="244"/>
      <c r="O253" s="244"/>
      <c r="P253" s="244"/>
    </row>
    <row r="254" spans="5:16">
      <c r="E254" s="244"/>
      <c r="F254" s="244"/>
      <c r="G254" s="244"/>
      <c r="H254" s="244"/>
      <c r="I254" s="244"/>
      <c r="J254" s="244"/>
      <c r="K254" s="244"/>
      <c r="L254" s="244"/>
      <c r="M254" s="244"/>
      <c r="N254" s="244"/>
      <c r="O254" s="244"/>
      <c r="P254" s="244"/>
    </row>
    <row r="255" spans="5:16">
      <c r="E255" s="244"/>
      <c r="F255" s="244"/>
      <c r="G255" s="244"/>
      <c r="H255" s="244"/>
      <c r="I255" s="244"/>
      <c r="J255" s="244"/>
      <c r="K255" s="244"/>
      <c r="L255" s="244"/>
      <c r="M255" s="244"/>
      <c r="N255" s="244"/>
      <c r="O255" s="244"/>
      <c r="P255" s="244"/>
    </row>
    <row r="256" spans="5:16">
      <c r="E256" s="244"/>
      <c r="F256" s="244"/>
      <c r="G256" s="244"/>
      <c r="H256" s="244"/>
      <c r="I256" s="244"/>
      <c r="J256" s="244"/>
      <c r="K256" s="244"/>
      <c r="L256" s="244"/>
      <c r="M256" s="244"/>
      <c r="N256" s="244"/>
      <c r="O256" s="244"/>
      <c r="P256" s="244"/>
    </row>
    <row r="257" spans="5:16">
      <c r="E257" s="244"/>
      <c r="F257" s="244"/>
      <c r="G257" s="244"/>
      <c r="H257" s="244"/>
      <c r="I257" s="244"/>
      <c r="J257" s="244"/>
      <c r="K257" s="244"/>
      <c r="L257" s="244"/>
      <c r="M257" s="244"/>
      <c r="N257" s="244"/>
      <c r="O257" s="244"/>
      <c r="P257" s="244"/>
    </row>
    <row r="258" spans="5:16">
      <c r="E258" s="244"/>
      <c r="F258" s="244"/>
      <c r="G258" s="244"/>
      <c r="H258" s="244"/>
      <c r="I258" s="244"/>
      <c r="J258" s="244"/>
      <c r="K258" s="244"/>
      <c r="L258" s="244"/>
      <c r="M258" s="244"/>
      <c r="N258" s="244"/>
      <c r="O258" s="244"/>
      <c r="P258" s="244"/>
    </row>
    <row r="259" spans="5:16">
      <c r="E259" s="244"/>
      <c r="F259" s="244"/>
      <c r="G259" s="244"/>
      <c r="H259" s="244"/>
      <c r="I259" s="244"/>
      <c r="J259" s="244"/>
      <c r="K259" s="244"/>
      <c r="L259" s="244"/>
      <c r="M259" s="244"/>
      <c r="N259" s="244"/>
      <c r="O259" s="244"/>
      <c r="P259" s="244"/>
    </row>
    <row r="260" spans="5:16">
      <c r="E260" s="244"/>
      <c r="F260" s="244"/>
      <c r="G260" s="244"/>
      <c r="H260" s="244"/>
      <c r="I260" s="244"/>
      <c r="J260" s="244"/>
      <c r="K260" s="244"/>
      <c r="L260" s="244"/>
      <c r="M260" s="244"/>
      <c r="N260" s="244"/>
      <c r="O260" s="244"/>
      <c r="P260" s="244"/>
    </row>
    <row r="261" spans="5:16">
      <c r="E261" s="244"/>
      <c r="F261" s="244"/>
      <c r="G261" s="244"/>
      <c r="H261" s="244"/>
      <c r="I261" s="244"/>
      <c r="J261" s="244"/>
      <c r="K261" s="244"/>
      <c r="L261" s="244"/>
      <c r="M261" s="244"/>
      <c r="N261" s="244"/>
      <c r="O261" s="244"/>
      <c r="P261" s="244"/>
    </row>
    <row r="262" spans="5:16">
      <c r="E262" s="244"/>
      <c r="F262" s="244"/>
      <c r="G262" s="244"/>
      <c r="H262" s="244"/>
      <c r="I262" s="244"/>
      <c r="J262" s="244"/>
      <c r="K262" s="244"/>
      <c r="L262" s="244"/>
      <c r="M262" s="244"/>
      <c r="N262" s="244"/>
      <c r="O262" s="244"/>
      <c r="P262" s="244"/>
    </row>
    <row r="263" spans="5:16">
      <c r="E263" s="244"/>
      <c r="F263" s="244"/>
      <c r="G263" s="244"/>
      <c r="H263" s="244"/>
      <c r="I263" s="244"/>
      <c r="J263" s="244"/>
      <c r="K263" s="244"/>
      <c r="L263" s="244"/>
      <c r="M263" s="244"/>
      <c r="N263" s="244"/>
      <c r="O263" s="244"/>
      <c r="P263" s="244"/>
    </row>
    <row r="264" spans="5:16">
      <c r="E264" s="244"/>
      <c r="F264" s="244"/>
      <c r="G264" s="244"/>
      <c r="H264" s="244"/>
      <c r="I264" s="244"/>
      <c r="J264" s="244"/>
      <c r="K264" s="244"/>
      <c r="L264" s="244"/>
      <c r="M264" s="244"/>
      <c r="N264" s="244"/>
      <c r="O264" s="244"/>
      <c r="P264" s="244"/>
    </row>
    <row r="265" spans="5:16">
      <c r="E265" s="244"/>
      <c r="F265" s="244"/>
      <c r="G265" s="244"/>
      <c r="H265" s="244"/>
      <c r="I265" s="244"/>
      <c r="J265" s="244"/>
      <c r="K265" s="244"/>
      <c r="L265" s="244"/>
      <c r="M265" s="244"/>
      <c r="N265" s="244"/>
      <c r="O265" s="244"/>
      <c r="P265" s="244"/>
    </row>
    <row r="266" spans="5:16">
      <c r="E266" s="244"/>
      <c r="F266" s="244"/>
      <c r="G266" s="244"/>
      <c r="H266" s="244"/>
      <c r="I266" s="244"/>
      <c r="J266" s="244"/>
      <c r="K266" s="244"/>
      <c r="L266" s="244"/>
      <c r="M266" s="244"/>
      <c r="N266" s="244"/>
      <c r="O266" s="244"/>
      <c r="P266" s="244"/>
    </row>
    <row r="267" spans="5:16">
      <c r="E267" s="244"/>
      <c r="F267" s="244"/>
      <c r="G267" s="244"/>
      <c r="H267" s="244"/>
      <c r="I267" s="244"/>
      <c r="J267" s="244"/>
      <c r="K267" s="244"/>
      <c r="L267" s="244"/>
      <c r="M267" s="244"/>
      <c r="N267" s="244"/>
      <c r="O267" s="244"/>
      <c r="P267" s="244"/>
    </row>
    <row r="268" spans="5:16">
      <c r="E268" s="244"/>
      <c r="F268" s="244"/>
      <c r="G268" s="244"/>
      <c r="H268" s="244"/>
      <c r="I268" s="244"/>
      <c r="J268" s="244"/>
      <c r="K268" s="244"/>
      <c r="L268" s="244"/>
      <c r="M268" s="244"/>
      <c r="N268" s="244"/>
      <c r="O268" s="244"/>
      <c r="P268" s="244"/>
    </row>
    <row r="269" spans="5:16">
      <c r="E269" s="244"/>
      <c r="F269" s="244"/>
      <c r="G269" s="244"/>
      <c r="H269" s="244"/>
      <c r="I269" s="244"/>
      <c r="J269" s="244"/>
      <c r="K269" s="244"/>
      <c r="L269" s="244"/>
      <c r="M269" s="244"/>
      <c r="N269" s="244"/>
      <c r="O269" s="244"/>
      <c r="P269" s="244"/>
    </row>
    <row r="270" spans="5:16">
      <c r="E270" s="244"/>
      <c r="F270" s="244"/>
      <c r="G270" s="244"/>
      <c r="H270" s="244"/>
      <c r="I270" s="244"/>
      <c r="J270" s="244"/>
      <c r="K270" s="244"/>
      <c r="L270" s="244"/>
      <c r="M270" s="244"/>
      <c r="N270" s="244"/>
      <c r="O270" s="244"/>
      <c r="P270" s="244"/>
    </row>
    <row r="271" spans="5:16">
      <c r="E271" s="244"/>
      <c r="F271" s="244"/>
      <c r="G271" s="244"/>
      <c r="H271" s="244"/>
      <c r="I271" s="244"/>
      <c r="J271" s="244"/>
      <c r="K271" s="244"/>
      <c r="L271" s="244"/>
      <c r="M271" s="244"/>
      <c r="N271" s="244"/>
      <c r="O271" s="244"/>
      <c r="P271" s="244"/>
    </row>
    <row r="272" spans="5:16">
      <c r="E272" s="244"/>
      <c r="F272" s="244"/>
      <c r="G272" s="244"/>
      <c r="H272" s="244"/>
      <c r="I272" s="244"/>
      <c r="J272" s="244"/>
      <c r="K272" s="244"/>
      <c r="L272" s="244"/>
      <c r="M272" s="244"/>
      <c r="N272" s="244"/>
      <c r="O272" s="244"/>
      <c r="P272" s="244"/>
    </row>
    <row r="273" spans="5:16">
      <c r="E273" s="244"/>
      <c r="F273" s="244"/>
      <c r="G273" s="244"/>
      <c r="H273" s="244"/>
      <c r="I273" s="244"/>
      <c r="J273" s="244"/>
      <c r="K273" s="244"/>
      <c r="L273" s="244"/>
      <c r="M273" s="244"/>
      <c r="N273" s="244"/>
      <c r="O273" s="244"/>
      <c r="P273" s="244"/>
    </row>
    <row r="274" spans="5:16">
      <c r="E274" s="244"/>
      <c r="F274" s="244"/>
      <c r="G274" s="244"/>
      <c r="H274" s="244"/>
      <c r="I274" s="244"/>
      <c r="J274" s="244"/>
      <c r="K274" s="244"/>
      <c r="L274" s="244"/>
      <c r="M274" s="244"/>
      <c r="N274" s="244"/>
      <c r="O274" s="244"/>
      <c r="P274" s="244"/>
    </row>
    <row r="275" spans="5:16">
      <c r="E275" s="244"/>
      <c r="F275" s="244"/>
      <c r="G275" s="244"/>
      <c r="H275" s="244"/>
      <c r="I275" s="244"/>
      <c r="J275" s="244"/>
      <c r="K275" s="244"/>
      <c r="L275" s="244"/>
      <c r="M275" s="244"/>
      <c r="N275" s="244"/>
      <c r="O275" s="244"/>
      <c r="P275" s="244"/>
    </row>
    <row r="276" spans="5:16">
      <c r="E276" s="244"/>
      <c r="F276" s="244"/>
      <c r="G276" s="244"/>
      <c r="H276" s="244"/>
      <c r="I276" s="244"/>
      <c r="J276" s="244"/>
      <c r="K276" s="244"/>
      <c r="L276" s="244"/>
      <c r="M276" s="244"/>
      <c r="N276" s="244"/>
      <c r="O276" s="244"/>
      <c r="P276" s="244"/>
    </row>
    <row r="277" spans="5:16">
      <c r="E277" s="244"/>
      <c r="F277" s="244"/>
      <c r="G277" s="244"/>
      <c r="H277" s="244"/>
      <c r="I277" s="244"/>
      <c r="J277" s="244"/>
      <c r="K277" s="244"/>
      <c r="L277" s="244"/>
      <c r="M277" s="244"/>
      <c r="N277" s="244"/>
      <c r="O277" s="244"/>
      <c r="P277" s="244"/>
    </row>
    <row r="278" spans="5:16">
      <c r="E278" s="244"/>
      <c r="F278" s="244"/>
      <c r="G278" s="244"/>
      <c r="H278" s="244"/>
      <c r="I278" s="244"/>
      <c r="J278" s="244"/>
      <c r="K278" s="244"/>
      <c r="L278" s="244"/>
      <c r="M278" s="244"/>
      <c r="N278" s="244"/>
      <c r="O278" s="244"/>
      <c r="P278" s="244"/>
    </row>
    <row r="279" spans="5:16">
      <c r="E279" s="244"/>
      <c r="F279" s="244"/>
      <c r="G279" s="244"/>
      <c r="H279" s="244"/>
      <c r="I279" s="244"/>
      <c r="J279" s="244"/>
      <c r="K279" s="244"/>
      <c r="L279" s="244"/>
      <c r="M279" s="244"/>
      <c r="N279" s="244"/>
      <c r="O279" s="244"/>
      <c r="P279" s="244"/>
    </row>
    <row r="280" spans="5:16">
      <c r="E280" s="244"/>
      <c r="F280" s="244"/>
      <c r="G280" s="244"/>
      <c r="H280" s="244"/>
      <c r="I280" s="244"/>
      <c r="J280" s="244"/>
      <c r="K280" s="244"/>
      <c r="L280" s="244"/>
      <c r="M280" s="244"/>
      <c r="N280" s="244"/>
      <c r="O280" s="244"/>
      <c r="P280" s="244"/>
    </row>
    <row r="281" spans="5:16">
      <c r="E281" s="244"/>
      <c r="F281" s="244"/>
      <c r="G281" s="244"/>
      <c r="H281" s="244"/>
      <c r="I281" s="244"/>
      <c r="J281" s="244"/>
      <c r="K281" s="244"/>
      <c r="L281" s="244"/>
      <c r="M281" s="244"/>
      <c r="N281" s="244"/>
      <c r="O281" s="244"/>
      <c r="P281" s="244"/>
    </row>
    <row r="282" spans="5:16">
      <c r="E282" s="244"/>
      <c r="F282" s="244"/>
      <c r="G282" s="244"/>
      <c r="H282" s="244"/>
      <c r="I282" s="244"/>
      <c r="J282" s="244"/>
      <c r="K282" s="244"/>
      <c r="L282" s="244"/>
      <c r="M282" s="244"/>
      <c r="N282" s="244"/>
      <c r="O282" s="244"/>
      <c r="P282" s="244"/>
    </row>
    <row r="283" spans="5:16">
      <c r="E283" s="244"/>
      <c r="F283" s="244"/>
      <c r="G283" s="244"/>
      <c r="H283" s="244"/>
      <c r="I283" s="244"/>
      <c r="J283" s="244"/>
      <c r="K283" s="244"/>
      <c r="L283" s="244"/>
      <c r="M283" s="244"/>
      <c r="N283" s="244"/>
      <c r="O283" s="244"/>
      <c r="P283" s="244"/>
    </row>
    <row r="284" spans="5:16">
      <c r="E284" s="244"/>
      <c r="F284" s="244"/>
      <c r="G284" s="244"/>
      <c r="H284" s="244"/>
      <c r="I284" s="244"/>
      <c r="J284" s="244"/>
      <c r="K284" s="244"/>
      <c r="L284" s="244"/>
      <c r="M284" s="244"/>
      <c r="N284" s="244"/>
      <c r="O284" s="244"/>
      <c r="P284" s="244"/>
    </row>
    <row r="285" spans="5:16">
      <c r="E285" s="244"/>
      <c r="F285" s="244"/>
      <c r="G285" s="244"/>
      <c r="H285" s="244"/>
      <c r="I285" s="244"/>
      <c r="J285" s="244"/>
      <c r="K285" s="244"/>
      <c r="L285" s="244"/>
      <c r="M285" s="244"/>
      <c r="N285" s="244"/>
      <c r="O285" s="244"/>
      <c r="P285" s="244"/>
    </row>
    <row r="286" spans="5:16">
      <c r="E286" s="244"/>
      <c r="F286" s="244"/>
      <c r="G286" s="244"/>
      <c r="H286" s="244"/>
      <c r="I286" s="244"/>
      <c r="J286" s="244"/>
      <c r="K286" s="244"/>
      <c r="L286" s="244"/>
      <c r="M286" s="244"/>
      <c r="N286" s="244"/>
      <c r="O286" s="244"/>
      <c r="P286" s="244"/>
    </row>
    <row r="287" spans="5:16">
      <c r="E287" s="244"/>
      <c r="F287" s="244"/>
      <c r="G287" s="244"/>
      <c r="H287" s="244"/>
      <c r="I287" s="244"/>
      <c r="J287" s="244"/>
      <c r="K287" s="244"/>
      <c r="L287" s="244"/>
      <c r="M287" s="244"/>
      <c r="N287" s="244"/>
      <c r="O287" s="244"/>
      <c r="P287" s="244"/>
    </row>
    <row r="288" spans="5:16">
      <c r="E288" s="244"/>
      <c r="F288" s="244"/>
      <c r="G288" s="244"/>
      <c r="H288" s="244"/>
      <c r="I288" s="244"/>
      <c r="J288" s="244"/>
      <c r="K288" s="244"/>
      <c r="L288" s="244"/>
      <c r="M288" s="244"/>
      <c r="N288" s="244"/>
      <c r="O288" s="244"/>
      <c r="P288" s="244"/>
    </row>
    <row r="289" spans="5:16">
      <c r="E289" s="244"/>
      <c r="F289" s="244"/>
      <c r="G289" s="244"/>
      <c r="H289" s="244"/>
      <c r="I289" s="244"/>
      <c r="J289" s="244"/>
      <c r="K289" s="244"/>
      <c r="L289" s="244"/>
      <c r="M289" s="244"/>
      <c r="N289" s="244"/>
      <c r="O289" s="244"/>
      <c r="P289" s="244"/>
    </row>
    <row r="290" spans="5:16">
      <c r="E290" s="244"/>
      <c r="F290" s="244"/>
      <c r="G290" s="244"/>
      <c r="H290" s="244"/>
      <c r="I290" s="244"/>
      <c r="J290" s="244"/>
      <c r="K290" s="244"/>
      <c r="L290" s="244"/>
      <c r="M290" s="244"/>
      <c r="N290" s="244"/>
      <c r="O290" s="244"/>
      <c r="P290" s="244"/>
    </row>
    <row r="291" spans="5:16">
      <c r="E291" s="244"/>
      <c r="F291" s="244"/>
      <c r="G291" s="244"/>
      <c r="H291" s="244"/>
      <c r="I291" s="244"/>
      <c r="J291" s="244"/>
      <c r="K291" s="244"/>
      <c r="L291" s="244"/>
      <c r="M291" s="244"/>
      <c r="N291" s="244"/>
      <c r="O291" s="244"/>
      <c r="P291" s="244"/>
    </row>
    <row r="292" spans="5:16">
      <c r="E292" s="244"/>
      <c r="F292" s="244"/>
      <c r="G292" s="244"/>
      <c r="H292" s="244"/>
      <c r="I292" s="244"/>
      <c r="J292" s="244"/>
      <c r="K292" s="244"/>
      <c r="L292" s="244"/>
      <c r="M292" s="244"/>
      <c r="N292" s="244"/>
      <c r="O292" s="244"/>
      <c r="P292" s="244"/>
    </row>
    <row r="293" spans="5:16">
      <c r="E293" s="244"/>
      <c r="F293" s="244"/>
      <c r="G293" s="244"/>
      <c r="H293" s="244"/>
      <c r="I293" s="244"/>
      <c r="J293" s="244"/>
      <c r="K293" s="244"/>
      <c r="L293" s="244"/>
      <c r="M293" s="244"/>
      <c r="N293" s="244"/>
      <c r="O293" s="244"/>
      <c r="P293" s="244"/>
    </row>
    <row r="294" spans="5:16">
      <c r="E294" s="244"/>
      <c r="F294" s="244"/>
      <c r="G294" s="244"/>
      <c r="H294" s="244"/>
      <c r="I294" s="244"/>
      <c r="J294" s="244"/>
      <c r="K294" s="244"/>
      <c r="L294" s="244"/>
      <c r="M294" s="244"/>
      <c r="N294" s="244"/>
      <c r="O294" s="244"/>
      <c r="P294" s="244"/>
    </row>
    <row r="295" spans="5:16">
      <c r="E295" s="244"/>
      <c r="F295" s="244"/>
      <c r="G295" s="244"/>
      <c r="H295" s="244"/>
      <c r="I295" s="244"/>
      <c r="J295" s="244"/>
      <c r="K295" s="244"/>
      <c r="L295" s="244"/>
      <c r="M295" s="244"/>
      <c r="N295" s="244"/>
      <c r="O295" s="244"/>
      <c r="P295" s="244"/>
    </row>
    <row r="296" spans="5:16">
      <c r="E296" s="244"/>
      <c r="F296" s="244"/>
      <c r="G296" s="244"/>
      <c r="H296" s="244"/>
      <c r="I296" s="244"/>
      <c r="J296" s="244"/>
      <c r="K296" s="244"/>
      <c r="L296" s="244"/>
      <c r="M296" s="244"/>
      <c r="N296" s="244"/>
      <c r="O296" s="244"/>
      <c r="P296" s="244"/>
    </row>
    <row r="297" spans="5:16">
      <c r="E297" s="244"/>
      <c r="F297" s="244"/>
      <c r="G297" s="244"/>
      <c r="H297" s="244"/>
      <c r="I297" s="244"/>
      <c r="J297" s="244"/>
      <c r="K297" s="244"/>
      <c r="L297" s="244"/>
      <c r="M297" s="244"/>
      <c r="N297" s="244"/>
      <c r="O297" s="244"/>
      <c r="P297" s="244"/>
    </row>
    <row r="298" spans="5:16">
      <c r="E298" s="244"/>
      <c r="F298" s="244"/>
      <c r="G298" s="244"/>
      <c r="H298" s="244"/>
      <c r="I298" s="244"/>
      <c r="J298" s="244"/>
      <c r="K298" s="244"/>
      <c r="L298" s="244"/>
      <c r="M298" s="244"/>
      <c r="N298" s="244"/>
      <c r="O298" s="244"/>
      <c r="P298" s="244"/>
    </row>
    <row r="299" spans="5:16">
      <c r="E299" s="244"/>
      <c r="F299" s="244"/>
      <c r="G299" s="244"/>
      <c r="H299" s="244"/>
      <c r="I299" s="244"/>
      <c r="J299" s="244"/>
      <c r="K299" s="244"/>
      <c r="L299" s="244"/>
      <c r="M299" s="244"/>
      <c r="N299" s="244"/>
      <c r="O299" s="244"/>
      <c r="P299" s="244"/>
    </row>
    <row r="300" spans="5:16">
      <c r="E300" s="244"/>
      <c r="F300" s="244"/>
      <c r="G300" s="244"/>
      <c r="H300" s="244"/>
      <c r="I300" s="244"/>
      <c r="J300" s="244"/>
      <c r="K300" s="244"/>
      <c r="L300" s="244"/>
      <c r="M300" s="244"/>
      <c r="N300" s="244"/>
      <c r="O300" s="244"/>
      <c r="P300" s="244"/>
    </row>
    <row r="301" spans="5:16">
      <c r="E301" s="244"/>
      <c r="F301" s="244"/>
      <c r="G301" s="244"/>
      <c r="H301" s="244"/>
      <c r="I301" s="244"/>
      <c r="J301" s="244"/>
      <c r="K301" s="244"/>
      <c r="L301" s="244"/>
      <c r="M301" s="244"/>
      <c r="N301" s="244"/>
      <c r="O301" s="244"/>
      <c r="P301" s="244"/>
    </row>
    <row r="302" spans="5:16">
      <c r="E302" s="244"/>
      <c r="F302" s="244"/>
      <c r="G302" s="244"/>
      <c r="H302" s="244"/>
      <c r="I302" s="244"/>
      <c r="J302" s="244"/>
      <c r="K302" s="244"/>
      <c r="L302" s="244"/>
      <c r="M302" s="244"/>
      <c r="N302" s="244"/>
      <c r="O302" s="244"/>
      <c r="P302" s="244"/>
    </row>
    <row r="303" spans="5:16">
      <c r="E303" s="244"/>
      <c r="F303" s="244"/>
      <c r="G303" s="244"/>
      <c r="H303" s="244"/>
      <c r="I303" s="244"/>
      <c r="J303" s="244"/>
      <c r="K303" s="244"/>
      <c r="L303" s="244"/>
      <c r="M303" s="244"/>
      <c r="N303" s="244"/>
      <c r="O303" s="244"/>
      <c r="P303" s="244"/>
    </row>
    <row r="304" spans="5:16">
      <c r="E304" s="244"/>
      <c r="F304" s="244"/>
      <c r="G304" s="244"/>
      <c r="H304" s="244"/>
      <c r="I304" s="244"/>
      <c r="J304" s="244"/>
      <c r="K304" s="244"/>
      <c r="L304" s="244"/>
      <c r="M304" s="244"/>
      <c r="N304" s="244"/>
      <c r="O304" s="244"/>
      <c r="P304" s="244"/>
    </row>
    <row r="305" spans="5:16">
      <c r="E305" s="244"/>
      <c r="F305" s="244"/>
      <c r="G305" s="244"/>
      <c r="H305" s="244"/>
      <c r="I305" s="244"/>
      <c r="J305" s="244"/>
      <c r="K305" s="244"/>
      <c r="L305" s="244"/>
      <c r="M305" s="244"/>
      <c r="N305" s="244"/>
      <c r="O305" s="244"/>
      <c r="P305" s="244"/>
    </row>
    <row r="306" spans="5:16">
      <c r="E306" s="244"/>
      <c r="F306" s="244"/>
      <c r="G306" s="244"/>
      <c r="H306" s="244"/>
      <c r="I306" s="244"/>
      <c r="J306" s="244"/>
      <c r="K306" s="244"/>
      <c r="L306" s="244"/>
      <c r="M306" s="244"/>
      <c r="N306" s="244"/>
      <c r="O306" s="244"/>
      <c r="P306" s="244"/>
    </row>
    <row r="307" spans="5:16">
      <c r="E307" s="244"/>
      <c r="F307" s="244"/>
      <c r="G307" s="244"/>
      <c r="H307" s="244"/>
      <c r="I307" s="244"/>
      <c r="J307" s="244"/>
      <c r="K307" s="244"/>
      <c r="L307" s="244"/>
      <c r="M307" s="244"/>
      <c r="N307" s="244"/>
      <c r="O307" s="244"/>
      <c r="P307" s="244"/>
    </row>
    <row r="308" spans="5:16">
      <c r="E308" s="244"/>
      <c r="F308" s="244"/>
      <c r="G308" s="244"/>
      <c r="H308" s="244"/>
      <c r="I308" s="244"/>
      <c r="J308" s="244"/>
      <c r="K308" s="244"/>
      <c r="L308" s="244"/>
      <c r="M308" s="244"/>
      <c r="N308" s="244"/>
      <c r="O308" s="244"/>
      <c r="P308" s="244"/>
    </row>
    <row r="309" spans="5:16">
      <c r="E309" s="244"/>
      <c r="F309" s="244"/>
      <c r="G309" s="244"/>
      <c r="H309" s="244"/>
      <c r="I309" s="244"/>
      <c r="J309" s="244"/>
      <c r="K309" s="244"/>
      <c r="L309" s="244"/>
      <c r="M309" s="244"/>
      <c r="N309" s="244"/>
      <c r="O309" s="244"/>
      <c r="P309" s="244"/>
    </row>
    <row r="310" spans="5:16">
      <c r="E310" s="244"/>
      <c r="F310" s="244"/>
      <c r="G310" s="244"/>
      <c r="H310" s="244"/>
      <c r="I310" s="244"/>
      <c r="J310" s="244"/>
      <c r="K310" s="244"/>
      <c r="L310" s="244"/>
      <c r="M310" s="244"/>
      <c r="N310" s="244"/>
      <c r="O310" s="244"/>
      <c r="P310" s="244"/>
    </row>
    <row r="311" spans="5:16">
      <c r="E311" s="244"/>
      <c r="F311" s="244"/>
      <c r="G311" s="244"/>
      <c r="H311" s="244"/>
      <c r="I311" s="244"/>
      <c r="J311" s="244"/>
      <c r="K311" s="244"/>
      <c r="L311" s="244"/>
      <c r="M311" s="244"/>
      <c r="N311" s="244"/>
      <c r="O311" s="244"/>
      <c r="P311" s="244"/>
    </row>
    <row r="312" spans="5:16">
      <c r="E312" s="244"/>
      <c r="F312" s="244"/>
      <c r="G312" s="244"/>
      <c r="H312" s="244"/>
      <c r="I312" s="244"/>
      <c r="J312" s="244"/>
      <c r="K312" s="244"/>
      <c r="L312" s="244"/>
      <c r="M312" s="244"/>
      <c r="N312" s="244"/>
      <c r="O312" s="244"/>
      <c r="P312" s="244"/>
    </row>
    <row r="313" spans="5:16">
      <c r="E313" s="244"/>
      <c r="F313" s="244"/>
      <c r="G313" s="244"/>
      <c r="H313" s="244"/>
      <c r="I313" s="244"/>
      <c r="J313" s="244"/>
      <c r="K313" s="244"/>
      <c r="L313" s="244"/>
      <c r="M313" s="244"/>
      <c r="N313" s="244"/>
      <c r="O313" s="244"/>
      <c r="P313" s="244"/>
    </row>
    <row r="314" spans="5:16">
      <c r="E314" s="244"/>
      <c r="F314" s="244"/>
      <c r="G314" s="244"/>
      <c r="H314" s="244"/>
      <c r="I314" s="244"/>
      <c r="J314" s="244"/>
      <c r="K314" s="244"/>
      <c r="L314" s="244"/>
      <c r="M314" s="244"/>
      <c r="N314" s="244"/>
      <c r="O314" s="244"/>
      <c r="P314" s="244"/>
    </row>
    <row r="315" spans="5:16">
      <c r="E315" s="244"/>
      <c r="F315" s="244"/>
      <c r="G315" s="244"/>
      <c r="H315" s="244"/>
      <c r="I315" s="244"/>
      <c r="J315" s="244"/>
      <c r="K315" s="244"/>
      <c r="L315" s="244"/>
      <c r="M315" s="244"/>
      <c r="N315" s="244"/>
      <c r="O315" s="244"/>
      <c r="P315" s="244"/>
    </row>
    <row r="316" spans="5:16">
      <c r="E316" s="244"/>
      <c r="F316" s="244"/>
      <c r="G316" s="244"/>
      <c r="H316" s="244"/>
      <c r="I316" s="244"/>
      <c r="J316" s="244"/>
      <c r="K316" s="244"/>
      <c r="L316" s="244"/>
      <c r="M316" s="244"/>
      <c r="N316" s="244"/>
      <c r="O316" s="244"/>
      <c r="P316" s="244"/>
    </row>
    <row r="317" spans="5:16">
      <c r="E317" s="244"/>
      <c r="F317" s="244"/>
      <c r="G317" s="244"/>
      <c r="H317" s="244"/>
      <c r="I317" s="244"/>
      <c r="J317" s="244"/>
      <c r="K317" s="244"/>
      <c r="L317" s="244"/>
      <c r="M317" s="244"/>
      <c r="N317" s="244"/>
      <c r="O317" s="244"/>
      <c r="P317" s="244"/>
    </row>
    <row r="318" spans="5:16">
      <c r="E318" s="244"/>
      <c r="F318" s="244"/>
      <c r="G318" s="244"/>
      <c r="H318" s="244"/>
      <c r="I318" s="244"/>
      <c r="J318" s="244"/>
      <c r="K318" s="244"/>
      <c r="L318" s="244"/>
      <c r="M318" s="244"/>
      <c r="N318" s="244"/>
      <c r="O318" s="244"/>
      <c r="P318" s="244"/>
    </row>
    <row r="319" spans="5:16">
      <c r="E319" s="244"/>
      <c r="F319" s="244"/>
      <c r="G319" s="244"/>
      <c r="H319" s="244"/>
      <c r="I319" s="244"/>
      <c r="J319" s="244"/>
      <c r="K319" s="244"/>
      <c r="L319" s="244"/>
      <c r="M319" s="244"/>
      <c r="N319" s="244"/>
      <c r="O319" s="244"/>
      <c r="P319" s="244"/>
    </row>
    <row r="320" spans="5:16">
      <c r="E320" s="244"/>
      <c r="F320" s="244"/>
      <c r="G320" s="244"/>
      <c r="H320" s="244"/>
      <c r="I320" s="244"/>
      <c r="J320" s="244"/>
      <c r="K320" s="244"/>
      <c r="L320" s="244"/>
      <c r="M320" s="244"/>
      <c r="N320" s="244"/>
      <c r="O320" s="244"/>
      <c r="P320" s="244"/>
    </row>
    <row r="321" spans="5:16">
      <c r="E321" s="244"/>
      <c r="F321" s="244"/>
      <c r="G321" s="244"/>
      <c r="H321" s="244"/>
      <c r="I321" s="244"/>
      <c r="J321" s="244"/>
      <c r="K321" s="244"/>
      <c r="L321" s="244"/>
      <c r="M321" s="244"/>
      <c r="N321" s="244"/>
      <c r="O321" s="244"/>
      <c r="P321" s="244"/>
    </row>
    <row r="322" spans="5:16">
      <c r="E322" s="244"/>
      <c r="F322" s="244"/>
      <c r="G322" s="244"/>
      <c r="H322" s="244"/>
      <c r="I322" s="244"/>
      <c r="J322" s="244"/>
      <c r="K322" s="244"/>
      <c r="L322" s="244"/>
      <c r="M322" s="244"/>
      <c r="N322" s="244"/>
      <c r="O322" s="244"/>
      <c r="P322" s="244"/>
    </row>
    <row r="323" spans="5:16">
      <c r="E323" s="244"/>
      <c r="F323" s="244"/>
      <c r="G323" s="244"/>
      <c r="H323" s="244"/>
      <c r="I323" s="244"/>
      <c r="J323" s="244"/>
      <c r="K323" s="244"/>
      <c r="L323" s="244"/>
      <c r="M323" s="244"/>
      <c r="N323" s="244"/>
      <c r="O323" s="244"/>
      <c r="P323" s="244"/>
    </row>
    <row r="324" spans="5:16">
      <c r="E324" s="244"/>
      <c r="F324" s="244"/>
      <c r="G324" s="244"/>
      <c r="H324" s="244"/>
      <c r="I324" s="244"/>
      <c r="J324" s="244"/>
      <c r="K324" s="244"/>
      <c r="L324" s="244"/>
      <c r="M324" s="244"/>
      <c r="N324" s="244"/>
      <c r="O324" s="244"/>
      <c r="P324" s="244"/>
    </row>
    <row r="325" spans="5:16">
      <c r="E325" s="244"/>
      <c r="F325" s="244"/>
      <c r="G325" s="244"/>
      <c r="H325" s="244"/>
      <c r="I325" s="244"/>
      <c r="J325" s="244"/>
      <c r="K325" s="244"/>
      <c r="L325" s="244"/>
      <c r="M325" s="244"/>
      <c r="N325" s="244"/>
      <c r="O325" s="244"/>
      <c r="P325" s="244"/>
    </row>
    <row r="326" spans="5:16">
      <c r="E326" s="244"/>
      <c r="F326" s="244"/>
      <c r="G326" s="244"/>
      <c r="H326" s="244"/>
      <c r="I326" s="244"/>
      <c r="J326" s="244"/>
      <c r="K326" s="244"/>
      <c r="L326" s="244"/>
      <c r="M326" s="244"/>
      <c r="N326" s="244"/>
      <c r="O326" s="244"/>
      <c r="P326" s="244"/>
    </row>
    <row r="327" spans="5:16">
      <c r="E327" s="244"/>
      <c r="F327" s="244"/>
      <c r="G327" s="244"/>
      <c r="H327" s="244"/>
      <c r="I327" s="244"/>
      <c r="J327" s="244"/>
      <c r="K327" s="244"/>
      <c r="L327" s="244"/>
      <c r="M327" s="244"/>
      <c r="N327" s="244"/>
      <c r="O327" s="244"/>
      <c r="P327" s="244"/>
    </row>
    <row r="328" spans="5:16">
      <c r="E328" s="244"/>
      <c r="F328" s="244"/>
      <c r="G328" s="244"/>
      <c r="H328" s="244"/>
      <c r="I328" s="244"/>
      <c r="J328" s="244"/>
      <c r="K328" s="244"/>
      <c r="L328" s="244"/>
      <c r="M328" s="244"/>
      <c r="N328" s="244"/>
      <c r="O328" s="244"/>
      <c r="P328" s="244"/>
    </row>
    <row r="329" spans="5:16">
      <c r="E329" s="244"/>
      <c r="F329" s="244"/>
      <c r="G329" s="244"/>
      <c r="H329" s="244"/>
      <c r="I329" s="244"/>
      <c r="J329" s="244"/>
      <c r="K329" s="244"/>
      <c r="L329" s="244"/>
      <c r="M329" s="244"/>
      <c r="N329" s="244"/>
      <c r="O329" s="244"/>
      <c r="P329" s="244"/>
    </row>
    <row r="330" spans="5:16">
      <c r="E330" s="244"/>
      <c r="F330" s="244"/>
      <c r="G330" s="244"/>
      <c r="H330" s="244"/>
      <c r="I330" s="244"/>
      <c r="J330" s="244"/>
      <c r="K330" s="244"/>
      <c r="L330" s="244"/>
      <c r="M330" s="244"/>
      <c r="N330" s="244"/>
      <c r="O330" s="244"/>
      <c r="P330" s="244"/>
    </row>
    <row r="331" spans="5:16">
      <c r="E331" s="244"/>
      <c r="F331" s="244"/>
      <c r="G331" s="244"/>
      <c r="H331" s="244"/>
      <c r="I331" s="244"/>
      <c r="J331" s="244"/>
      <c r="K331" s="244"/>
      <c r="L331" s="244"/>
      <c r="M331" s="244"/>
      <c r="N331" s="244"/>
      <c r="O331" s="244"/>
      <c r="P331" s="244"/>
    </row>
    <row r="332" spans="5:16">
      <c r="E332" s="244"/>
      <c r="F332" s="244"/>
      <c r="G332" s="244"/>
      <c r="H332" s="244"/>
      <c r="I332" s="244"/>
      <c r="J332" s="244"/>
      <c r="K332" s="244"/>
      <c r="L332" s="244"/>
      <c r="M332" s="244"/>
      <c r="N332" s="244"/>
      <c r="O332" s="244"/>
      <c r="P332" s="244"/>
    </row>
    <row r="333" spans="5:16">
      <c r="E333" s="244"/>
      <c r="F333" s="244"/>
      <c r="G333" s="244"/>
      <c r="H333" s="244"/>
      <c r="I333" s="244"/>
      <c r="J333" s="244"/>
      <c r="K333" s="244"/>
      <c r="L333" s="244"/>
      <c r="M333" s="244"/>
      <c r="N333" s="244"/>
      <c r="O333" s="244"/>
      <c r="P333" s="244"/>
    </row>
    <row r="334" spans="5:16">
      <c r="E334" s="244"/>
      <c r="F334" s="244"/>
      <c r="G334" s="244"/>
      <c r="H334" s="244"/>
      <c r="I334" s="244"/>
      <c r="J334" s="244"/>
      <c r="K334" s="244"/>
      <c r="L334" s="244"/>
      <c r="M334" s="244"/>
      <c r="N334" s="244"/>
      <c r="O334" s="244"/>
      <c r="P334" s="244"/>
    </row>
    <row r="335" spans="5:16">
      <c r="E335" s="244"/>
      <c r="F335" s="244"/>
      <c r="G335" s="244"/>
      <c r="H335" s="244"/>
      <c r="I335" s="244"/>
      <c r="J335" s="244"/>
      <c r="K335" s="244"/>
      <c r="L335" s="244"/>
      <c r="M335" s="244"/>
      <c r="N335" s="244"/>
      <c r="O335" s="244"/>
      <c r="P335" s="244"/>
    </row>
    <row r="336" spans="5:16">
      <c r="E336" s="244"/>
      <c r="F336" s="244"/>
      <c r="G336" s="244"/>
      <c r="H336" s="244"/>
      <c r="I336" s="244"/>
      <c r="J336" s="244"/>
      <c r="K336" s="244"/>
      <c r="L336" s="244"/>
      <c r="M336" s="244"/>
      <c r="N336" s="244"/>
      <c r="O336" s="244"/>
      <c r="P336" s="244"/>
    </row>
    <row r="337" spans="5:16">
      <c r="E337" s="244"/>
      <c r="F337" s="244"/>
      <c r="G337" s="244"/>
      <c r="H337" s="244"/>
      <c r="I337" s="244"/>
      <c r="J337" s="244"/>
      <c r="K337" s="244"/>
      <c r="L337" s="244"/>
      <c r="M337" s="244"/>
      <c r="N337" s="244"/>
      <c r="O337" s="244"/>
      <c r="P337" s="244"/>
    </row>
    <row r="338" spans="5:16">
      <c r="E338" s="244"/>
      <c r="F338" s="244"/>
      <c r="G338" s="244"/>
      <c r="H338" s="244"/>
      <c r="I338" s="244"/>
      <c r="J338" s="244"/>
      <c r="K338" s="244"/>
      <c r="L338" s="244"/>
      <c r="M338" s="244"/>
      <c r="N338" s="244"/>
      <c r="O338" s="244"/>
      <c r="P338" s="244"/>
    </row>
    <row r="339" spans="5:16">
      <c r="E339" s="244"/>
      <c r="F339" s="244"/>
      <c r="G339" s="244"/>
      <c r="H339" s="244"/>
      <c r="I339" s="244"/>
      <c r="J339" s="244"/>
      <c r="K339" s="244"/>
      <c r="L339" s="244"/>
      <c r="M339" s="244"/>
      <c r="N339" s="244"/>
      <c r="O339" s="244"/>
      <c r="P339" s="244"/>
    </row>
    <row r="340" spans="5:16">
      <c r="E340" s="244"/>
      <c r="F340" s="244"/>
      <c r="G340" s="244"/>
      <c r="H340" s="244"/>
      <c r="I340" s="244"/>
      <c r="J340" s="244"/>
      <c r="K340" s="244"/>
      <c r="L340" s="244"/>
      <c r="M340" s="244"/>
      <c r="N340" s="244"/>
      <c r="O340" s="244"/>
      <c r="P340" s="244"/>
    </row>
    <row r="341" spans="5:16">
      <c r="E341" s="244"/>
      <c r="F341" s="244"/>
      <c r="G341" s="244"/>
      <c r="H341" s="244"/>
      <c r="I341" s="244"/>
      <c r="J341" s="244"/>
      <c r="K341" s="244"/>
      <c r="L341" s="244"/>
      <c r="M341" s="244"/>
      <c r="N341" s="244"/>
      <c r="O341" s="244"/>
      <c r="P341" s="244"/>
    </row>
    <row r="342" spans="5:16">
      <c r="E342" s="244"/>
      <c r="F342" s="244"/>
      <c r="G342" s="244"/>
      <c r="H342" s="244"/>
      <c r="I342" s="244"/>
      <c r="J342" s="244"/>
      <c r="K342" s="244"/>
      <c r="L342" s="244"/>
      <c r="M342" s="244"/>
      <c r="N342" s="244"/>
      <c r="O342" s="244"/>
      <c r="P342" s="244"/>
    </row>
    <row r="343" spans="5:16">
      <c r="E343" s="244"/>
      <c r="F343" s="244"/>
      <c r="G343" s="244"/>
      <c r="H343" s="244"/>
      <c r="I343" s="244"/>
      <c r="J343" s="244"/>
      <c r="K343" s="244"/>
      <c r="L343" s="244"/>
      <c r="M343" s="244"/>
      <c r="N343" s="244"/>
      <c r="O343" s="244"/>
      <c r="P343" s="244"/>
    </row>
    <row r="344" spans="5:16">
      <c r="E344" s="244"/>
      <c r="F344" s="244"/>
      <c r="G344" s="244"/>
      <c r="H344" s="244"/>
      <c r="I344" s="244"/>
      <c r="J344" s="244"/>
      <c r="K344" s="244"/>
      <c r="L344" s="244"/>
      <c r="M344" s="244"/>
      <c r="N344" s="244"/>
      <c r="O344" s="244"/>
      <c r="P344" s="244"/>
    </row>
    <row r="345" spans="5:16">
      <c r="E345" s="244"/>
      <c r="F345" s="244"/>
      <c r="G345" s="244"/>
      <c r="H345" s="244"/>
      <c r="I345" s="244"/>
      <c r="J345" s="244"/>
      <c r="K345" s="244"/>
      <c r="L345" s="244"/>
      <c r="M345" s="244"/>
      <c r="N345" s="244"/>
      <c r="O345" s="244"/>
      <c r="P345" s="244"/>
    </row>
    <row r="346" spans="5:16">
      <c r="E346" s="244"/>
      <c r="F346" s="244"/>
      <c r="G346" s="244"/>
      <c r="H346" s="244"/>
      <c r="I346" s="244"/>
      <c r="J346" s="244"/>
      <c r="K346" s="244"/>
      <c r="L346" s="244"/>
      <c r="M346" s="244"/>
      <c r="N346" s="244"/>
      <c r="O346" s="244"/>
      <c r="P346" s="244"/>
    </row>
    <row r="347" spans="5:16">
      <c r="E347" s="244"/>
      <c r="F347" s="244"/>
      <c r="G347" s="244"/>
      <c r="H347" s="244"/>
      <c r="I347" s="244"/>
      <c r="J347" s="244"/>
      <c r="K347" s="244"/>
      <c r="L347" s="244"/>
      <c r="M347" s="244"/>
      <c r="N347" s="244"/>
      <c r="O347" s="244"/>
      <c r="P347" s="244"/>
    </row>
    <row r="348" spans="5:16">
      <c r="E348" s="244"/>
      <c r="F348" s="244"/>
      <c r="G348" s="244"/>
      <c r="H348" s="244"/>
      <c r="I348" s="244"/>
      <c r="J348" s="244"/>
      <c r="K348" s="244"/>
      <c r="L348" s="244"/>
      <c r="M348" s="244"/>
      <c r="N348" s="244"/>
      <c r="O348" s="244"/>
      <c r="P348" s="244"/>
    </row>
    <row r="349" spans="5:16">
      <c r="E349" s="244"/>
      <c r="F349" s="244"/>
      <c r="G349" s="244"/>
      <c r="H349" s="244"/>
      <c r="I349" s="244"/>
      <c r="J349" s="244"/>
      <c r="K349" s="244"/>
      <c r="L349" s="244"/>
      <c r="M349" s="244"/>
      <c r="N349" s="244"/>
      <c r="O349" s="244"/>
      <c r="P349" s="244"/>
    </row>
    <row r="350" spans="5:16">
      <c r="E350" s="244"/>
      <c r="F350" s="244"/>
      <c r="G350" s="244"/>
      <c r="H350" s="244"/>
      <c r="I350" s="244"/>
      <c r="J350" s="244"/>
      <c r="K350" s="244"/>
      <c r="L350" s="244"/>
      <c r="M350" s="244"/>
      <c r="N350" s="244"/>
      <c r="O350" s="244"/>
      <c r="P350" s="244"/>
    </row>
    <row r="351" spans="5:16">
      <c r="E351" s="244"/>
      <c r="F351" s="244"/>
      <c r="G351" s="244"/>
      <c r="H351" s="244"/>
      <c r="I351" s="244"/>
      <c r="J351" s="244"/>
      <c r="K351" s="244"/>
      <c r="L351" s="244"/>
      <c r="M351" s="244"/>
      <c r="N351" s="244"/>
      <c r="O351" s="244"/>
      <c r="P351" s="244"/>
    </row>
    <row r="352" spans="5:16">
      <c r="E352" s="244"/>
      <c r="F352" s="244"/>
      <c r="G352" s="244"/>
      <c r="H352" s="244"/>
      <c r="I352" s="244"/>
      <c r="J352" s="244"/>
      <c r="K352" s="244"/>
      <c r="L352" s="244"/>
      <c r="M352" s="244"/>
      <c r="N352" s="244"/>
      <c r="O352" s="244"/>
      <c r="P352" s="244"/>
    </row>
    <row r="353" spans="5:16">
      <c r="E353" s="244"/>
      <c r="F353" s="244"/>
      <c r="G353" s="244"/>
      <c r="H353" s="244"/>
      <c r="I353" s="244"/>
      <c r="J353" s="244"/>
      <c r="K353" s="244"/>
      <c r="L353" s="244"/>
      <c r="M353" s="244"/>
      <c r="N353" s="244"/>
      <c r="O353" s="244"/>
      <c r="P353" s="244"/>
    </row>
    <row r="354" spans="5:16">
      <c r="E354" s="244"/>
      <c r="F354" s="244"/>
      <c r="G354" s="244"/>
      <c r="H354" s="244"/>
      <c r="I354" s="244"/>
      <c r="J354" s="244"/>
      <c r="K354" s="244"/>
      <c r="L354" s="244"/>
      <c r="M354" s="244"/>
      <c r="N354" s="244"/>
      <c r="O354" s="244"/>
      <c r="P354" s="244"/>
    </row>
    <row r="355" spans="5:16">
      <c r="E355" s="244"/>
      <c r="F355" s="244"/>
      <c r="G355" s="244"/>
      <c r="H355" s="244"/>
      <c r="I355" s="244"/>
      <c r="J355" s="244"/>
      <c r="K355" s="244"/>
      <c r="L355" s="244"/>
      <c r="M355" s="244"/>
      <c r="N355" s="244"/>
      <c r="O355" s="244"/>
      <c r="P355" s="244"/>
    </row>
    <row r="356" spans="5:16">
      <c r="E356" s="244"/>
      <c r="F356" s="244"/>
      <c r="G356" s="244"/>
      <c r="H356" s="244"/>
      <c r="I356" s="244"/>
      <c r="J356" s="244"/>
      <c r="K356" s="244"/>
      <c r="L356" s="244"/>
      <c r="M356" s="244"/>
      <c r="N356" s="244"/>
      <c r="O356" s="244"/>
      <c r="P356" s="244"/>
    </row>
    <row r="357" spans="5:16">
      <c r="E357" s="244"/>
      <c r="F357" s="244"/>
      <c r="G357" s="244"/>
      <c r="H357" s="244"/>
      <c r="I357" s="244"/>
      <c r="J357" s="244"/>
      <c r="K357" s="244"/>
      <c r="L357" s="244"/>
      <c r="M357" s="244"/>
      <c r="N357" s="244"/>
      <c r="O357" s="244"/>
      <c r="P357" s="244"/>
    </row>
    <row r="358" spans="5:16">
      <c r="E358" s="244"/>
      <c r="F358" s="244"/>
      <c r="G358" s="244"/>
      <c r="H358" s="244"/>
      <c r="I358" s="244"/>
      <c r="J358" s="244"/>
      <c r="K358" s="244"/>
      <c r="L358" s="244"/>
      <c r="M358" s="244"/>
      <c r="N358" s="244"/>
      <c r="O358" s="244"/>
      <c r="P358" s="244"/>
    </row>
    <row r="359" spans="5:16">
      <c r="E359" s="244"/>
      <c r="F359" s="244"/>
      <c r="G359" s="244"/>
      <c r="H359" s="244"/>
      <c r="I359" s="244"/>
      <c r="J359" s="244"/>
      <c r="K359" s="244"/>
      <c r="L359" s="244"/>
      <c r="M359" s="244"/>
      <c r="N359" s="244"/>
      <c r="O359" s="244"/>
      <c r="P359" s="244"/>
    </row>
    <row r="360" spans="5:16">
      <c r="E360" s="244"/>
      <c r="F360" s="244"/>
      <c r="G360" s="244"/>
      <c r="H360" s="244"/>
      <c r="I360" s="244"/>
      <c r="J360" s="244"/>
      <c r="K360" s="244"/>
      <c r="L360" s="244"/>
      <c r="M360" s="244"/>
      <c r="N360" s="244"/>
      <c r="O360" s="244"/>
      <c r="P360" s="244"/>
    </row>
    <row r="361" spans="5:16">
      <c r="E361" s="244"/>
      <c r="F361" s="244"/>
      <c r="G361" s="244"/>
      <c r="H361" s="244"/>
      <c r="I361" s="244"/>
      <c r="J361" s="244"/>
      <c r="K361" s="244"/>
      <c r="L361" s="244"/>
      <c r="M361" s="244"/>
      <c r="N361" s="244"/>
      <c r="O361" s="244"/>
      <c r="P361" s="244"/>
    </row>
    <row r="362" spans="5:16">
      <c r="E362" s="244"/>
      <c r="F362" s="244"/>
      <c r="G362" s="244"/>
      <c r="H362" s="244"/>
      <c r="I362" s="244"/>
      <c r="J362" s="244"/>
      <c r="K362" s="244"/>
      <c r="L362" s="244"/>
      <c r="M362" s="244"/>
      <c r="N362" s="244"/>
      <c r="O362" s="244"/>
      <c r="P362" s="244"/>
    </row>
    <row r="363" spans="5:16">
      <c r="E363" s="244"/>
      <c r="F363" s="244"/>
      <c r="G363" s="244"/>
      <c r="H363" s="244"/>
      <c r="I363" s="244"/>
      <c r="J363" s="244"/>
      <c r="K363" s="244"/>
      <c r="L363" s="244"/>
      <c r="M363" s="244"/>
      <c r="N363" s="244"/>
      <c r="O363" s="244"/>
      <c r="P363" s="244"/>
    </row>
    <row r="364" spans="5:16">
      <c r="E364" s="244"/>
      <c r="F364" s="244"/>
      <c r="G364" s="244"/>
      <c r="H364" s="244"/>
      <c r="I364" s="244"/>
      <c r="J364" s="244"/>
      <c r="K364" s="244"/>
      <c r="L364" s="244"/>
      <c r="M364" s="244"/>
      <c r="N364" s="244"/>
      <c r="O364" s="244"/>
      <c r="P364" s="244"/>
    </row>
    <row r="365" spans="5:16">
      <c r="E365" s="244"/>
      <c r="F365" s="244"/>
      <c r="G365" s="244"/>
      <c r="H365" s="244"/>
      <c r="I365" s="244"/>
      <c r="J365" s="244"/>
      <c r="K365" s="244"/>
      <c r="L365" s="244"/>
      <c r="M365" s="244"/>
      <c r="N365" s="244"/>
      <c r="O365" s="244"/>
      <c r="P365" s="244"/>
    </row>
    <row r="366" spans="5:16">
      <c r="E366" s="244"/>
      <c r="F366" s="244"/>
      <c r="G366" s="244"/>
      <c r="H366" s="244"/>
      <c r="I366" s="244"/>
      <c r="J366" s="244"/>
      <c r="K366" s="244"/>
      <c r="L366" s="244"/>
      <c r="M366" s="244"/>
      <c r="N366" s="244"/>
      <c r="O366" s="244"/>
      <c r="P366" s="244"/>
    </row>
    <row r="367" spans="5:16">
      <c r="E367" s="244"/>
      <c r="F367" s="244"/>
      <c r="G367" s="244"/>
      <c r="H367" s="244"/>
      <c r="I367" s="244"/>
      <c r="J367" s="244"/>
      <c r="K367" s="244"/>
      <c r="L367" s="244"/>
      <c r="M367" s="244"/>
      <c r="N367" s="244"/>
      <c r="O367" s="244"/>
      <c r="P367" s="244"/>
    </row>
    <row r="368" spans="5:16">
      <c r="E368" s="244"/>
      <c r="F368" s="244"/>
      <c r="G368" s="244"/>
      <c r="H368" s="244"/>
      <c r="I368" s="244"/>
      <c r="J368" s="244"/>
      <c r="K368" s="244"/>
      <c r="L368" s="244"/>
      <c r="M368" s="244"/>
      <c r="N368" s="244"/>
      <c r="O368" s="244"/>
      <c r="P368" s="244"/>
    </row>
    <row r="369" spans="5:16">
      <c r="E369" s="244"/>
      <c r="F369" s="244"/>
      <c r="G369" s="244"/>
      <c r="H369" s="244"/>
      <c r="I369" s="244"/>
      <c r="J369" s="244"/>
      <c r="K369" s="244"/>
      <c r="L369" s="244"/>
      <c r="M369" s="244"/>
      <c r="N369" s="244"/>
      <c r="O369" s="244"/>
      <c r="P369" s="244"/>
    </row>
    <row r="370" spans="5:16">
      <c r="E370" s="244"/>
      <c r="F370" s="244"/>
      <c r="G370" s="244"/>
      <c r="H370" s="244"/>
      <c r="I370" s="244"/>
      <c r="J370" s="244"/>
      <c r="K370" s="244"/>
      <c r="L370" s="244"/>
      <c r="M370" s="244"/>
      <c r="N370" s="244"/>
      <c r="O370" s="244"/>
      <c r="P370" s="244"/>
    </row>
    <row r="371" spans="5:16">
      <c r="E371" s="244"/>
      <c r="F371" s="244"/>
      <c r="G371" s="244"/>
      <c r="H371" s="244"/>
      <c r="I371" s="244"/>
      <c r="J371" s="244"/>
      <c r="K371" s="244"/>
      <c r="L371" s="244"/>
      <c r="M371" s="244"/>
      <c r="N371" s="244"/>
      <c r="O371" s="244"/>
      <c r="P371" s="244"/>
    </row>
    <row r="372" spans="5:16">
      <c r="E372" s="244"/>
      <c r="F372" s="244"/>
      <c r="G372" s="244"/>
      <c r="H372" s="244"/>
      <c r="I372" s="244"/>
      <c r="J372" s="244"/>
      <c r="K372" s="244"/>
      <c r="L372" s="244"/>
      <c r="M372" s="244"/>
      <c r="N372" s="244"/>
      <c r="O372" s="244"/>
      <c r="P372" s="244"/>
    </row>
    <row r="373" spans="5:16">
      <c r="E373" s="244"/>
      <c r="F373" s="244"/>
      <c r="G373" s="244"/>
      <c r="H373" s="244"/>
      <c r="I373" s="244"/>
      <c r="J373" s="244"/>
      <c r="K373" s="244"/>
      <c r="L373" s="244"/>
      <c r="M373" s="244"/>
      <c r="N373" s="244"/>
      <c r="O373" s="244"/>
      <c r="P373" s="244"/>
    </row>
    <row r="374" spans="5:16">
      <c r="E374" s="244"/>
      <c r="F374" s="244"/>
      <c r="G374" s="244"/>
      <c r="H374" s="244"/>
      <c r="I374" s="244"/>
      <c r="J374" s="244"/>
      <c r="K374" s="244"/>
      <c r="L374" s="244"/>
      <c r="M374" s="244"/>
      <c r="N374" s="244"/>
      <c r="O374" s="244"/>
      <c r="P374" s="244"/>
    </row>
    <row r="375" spans="5:16">
      <c r="E375" s="244"/>
      <c r="F375" s="244"/>
      <c r="G375" s="244"/>
      <c r="H375" s="244"/>
      <c r="I375" s="244"/>
      <c r="J375" s="244"/>
      <c r="K375" s="244"/>
      <c r="L375" s="244"/>
      <c r="M375" s="244"/>
      <c r="N375" s="244"/>
      <c r="O375" s="244"/>
      <c r="P375" s="244"/>
    </row>
    <row r="376" spans="5:16">
      <c r="E376" s="244"/>
      <c r="F376" s="244"/>
      <c r="G376" s="244"/>
      <c r="H376" s="244"/>
      <c r="I376" s="244"/>
      <c r="J376" s="244"/>
      <c r="K376" s="244"/>
      <c r="L376" s="244"/>
      <c r="M376" s="244"/>
      <c r="N376" s="244"/>
      <c r="O376" s="244"/>
      <c r="P376" s="244"/>
    </row>
    <row r="377" spans="5:16">
      <c r="E377" s="244"/>
      <c r="F377" s="244"/>
      <c r="G377" s="244"/>
      <c r="H377" s="244"/>
      <c r="I377" s="244"/>
      <c r="J377" s="244"/>
      <c r="K377" s="244"/>
      <c r="L377" s="244"/>
      <c r="M377" s="244"/>
      <c r="N377" s="244"/>
      <c r="O377" s="244"/>
      <c r="P377" s="244"/>
    </row>
    <row r="378" spans="5:16">
      <c r="E378" s="244"/>
      <c r="F378" s="244"/>
      <c r="G378" s="244"/>
      <c r="H378" s="244"/>
      <c r="I378" s="244"/>
      <c r="J378" s="244"/>
      <c r="K378" s="244"/>
      <c r="L378" s="244"/>
      <c r="M378" s="244"/>
      <c r="N378" s="244"/>
      <c r="O378" s="244"/>
      <c r="P378" s="244"/>
    </row>
    <row r="379" spans="5:16">
      <c r="E379" s="244"/>
      <c r="F379" s="244"/>
      <c r="G379" s="244"/>
      <c r="H379" s="244"/>
      <c r="I379" s="244"/>
      <c r="J379" s="244"/>
      <c r="K379" s="244"/>
      <c r="L379" s="244"/>
      <c r="M379" s="244"/>
      <c r="N379" s="244"/>
      <c r="O379" s="244"/>
      <c r="P379" s="244"/>
    </row>
    <row r="380" spans="5:16">
      <c r="E380" s="244"/>
      <c r="F380" s="244"/>
      <c r="G380" s="244"/>
      <c r="H380" s="244"/>
      <c r="I380" s="244"/>
      <c r="J380" s="244"/>
      <c r="K380" s="244"/>
      <c r="L380" s="244"/>
      <c r="M380" s="244"/>
      <c r="N380" s="244"/>
      <c r="O380" s="244"/>
      <c r="P380" s="244"/>
    </row>
    <row r="381" spans="5:16">
      <c r="E381" s="244"/>
      <c r="F381" s="244"/>
      <c r="G381" s="244"/>
      <c r="H381" s="244"/>
      <c r="I381" s="244"/>
      <c r="J381" s="244"/>
      <c r="K381" s="244"/>
      <c r="L381" s="244"/>
      <c r="M381" s="244"/>
      <c r="N381" s="244"/>
      <c r="O381" s="244"/>
      <c r="P381" s="244"/>
    </row>
    <row r="382" spans="5:16">
      <c r="E382" s="244"/>
      <c r="F382" s="244"/>
      <c r="G382" s="244"/>
      <c r="H382" s="244"/>
      <c r="I382" s="244"/>
      <c r="J382" s="244"/>
      <c r="K382" s="244"/>
      <c r="L382" s="244"/>
      <c r="M382" s="244"/>
      <c r="N382" s="244"/>
      <c r="O382" s="244"/>
      <c r="P382" s="244"/>
    </row>
    <row r="383" spans="5:16">
      <c r="E383" s="244"/>
      <c r="F383" s="244"/>
      <c r="G383" s="244"/>
      <c r="H383" s="244"/>
      <c r="I383" s="244"/>
      <c r="J383" s="244"/>
      <c r="K383" s="244"/>
      <c r="L383" s="244"/>
      <c r="M383" s="244"/>
      <c r="N383" s="244"/>
      <c r="O383" s="244"/>
      <c r="P383" s="244"/>
    </row>
    <row r="384" spans="5:16">
      <c r="E384" s="244"/>
      <c r="F384" s="244"/>
      <c r="G384" s="244"/>
      <c r="H384" s="244"/>
      <c r="I384" s="244"/>
      <c r="J384" s="244"/>
      <c r="K384" s="244"/>
      <c r="L384" s="244"/>
      <c r="M384" s="244"/>
      <c r="N384" s="244"/>
      <c r="O384" s="244"/>
      <c r="P384" s="244"/>
    </row>
    <row r="385" spans="5:16">
      <c r="E385" s="244"/>
      <c r="F385" s="244"/>
      <c r="G385" s="244"/>
      <c r="H385" s="244"/>
      <c r="I385" s="244"/>
      <c r="J385" s="244"/>
      <c r="K385" s="244"/>
      <c r="L385" s="244"/>
      <c r="M385" s="244"/>
      <c r="N385" s="244"/>
      <c r="O385" s="244"/>
      <c r="P385" s="244"/>
    </row>
    <row r="386" spans="5:16">
      <c r="E386" s="244"/>
      <c r="F386" s="244"/>
      <c r="G386" s="244"/>
      <c r="H386" s="244"/>
      <c r="I386" s="244"/>
      <c r="J386" s="244"/>
      <c r="K386" s="244"/>
      <c r="L386" s="244"/>
      <c r="M386" s="244"/>
      <c r="N386" s="244"/>
      <c r="O386" s="244"/>
      <c r="P386" s="244"/>
    </row>
    <row r="387" spans="5:16">
      <c r="E387" s="244"/>
      <c r="F387" s="244"/>
      <c r="G387" s="244"/>
      <c r="H387" s="244"/>
      <c r="I387" s="244"/>
      <c r="J387" s="244"/>
      <c r="K387" s="244"/>
      <c r="L387" s="244"/>
      <c r="M387" s="244"/>
      <c r="N387" s="244"/>
      <c r="O387" s="244"/>
      <c r="P387" s="244"/>
    </row>
    <row r="388" spans="5:16">
      <c r="E388" s="244"/>
      <c r="F388" s="244"/>
      <c r="G388" s="244"/>
      <c r="H388" s="244"/>
      <c r="I388" s="244"/>
      <c r="J388" s="244"/>
      <c r="K388" s="244"/>
      <c r="L388" s="244"/>
      <c r="M388" s="244"/>
      <c r="N388" s="244"/>
      <c r="O388" s="244"/>
      <c r="P388" s="244"/>
    </row>
    <row r="389" spans="5:16">
      <c r="E389" s="244"/>
      <c r="F389" s="244"/>
      <c r="G389" s="244"/>
      <c r="H389" s="244"/>
      <c r="I389" s="244"/>
      <c r="J389" s="244"/>
      <c r="K389" s="244"/>
      <c r="L389" s="244"/>
      <c r="M389" s="244"/>
      <c r="N389" s="244"/>
      <c r="O389" s="244"/>
      <c r="P389" s="244"/>
    </row>
    <row r="390" spans="5:16">
      <c r="E390" s="244"/>
      <c r="F390" s="244"/>
      <c r="G390" s="244"/>
      <c r="H390" s="244"/>
      <c r="I390" s="244"/>
      <c r="J390" s="244"/>
      <c r="K390" s="244"/>
      <c r="L390" s="244"/>
      <c r="M390" s="244"/>
      <c r="N390" s="244"/>
      <c r="O390" s="244"/>
      <c r="P390" s="244"/>
    </row>
    <row r="391" spans="5:16">
      <c r="E391" s="244"/>
      <c r="F391" s="244"/>
      <c r="G391" s="244"/>
      <c r="H391" s="244"/>
      <c r="I391" s="244"/>
      <c r="J391" s="244"/>
      <c r="K391" s="244"/>
      <c r="L391" s="244"/>
      <c r="M391" s="244"/>
      <c r="N391" s="244"/>
      <c r="O391" s="244"/>
      <c r="P391" s="244"/>
    </row>
    <row r="392" spans="5:16">
      <c r="E392" s="244"/>
      <c r="F392" s="244"/>
      <c r="G392" s="244"/>
      <c r="H392" s="244"/>
      <c r="I392" s="244"/>
      <c r="J392" s="244"/>
      <c r="K392" s="244"/>
      <c r="L392" s="244"/>
      <c r="M392" s="244"/>
      <c r="N392" s="244"/>
      <c r="O392" s="244"/>
      <c r="P392" s="244"/>
    </row>
    <row r="393" spans="5:16">
      <c r="E393" s="244"/>
      <c r="F393" s="244"/>
      <c r="G393" s="244"/>
      <c r="H393" s="244"/>
      <c r="I393" s="244"/>
      <c r="J393" s="244"/>
      <c r="K393" s="244"/>
      <c r="L393" s="244"/>
      <c r="M393" s="244"/>
      <c r="N393" s="244"/>
      <c r="O393" s="244"/>
      <c r="P393" s="244"/>
    </row>
    <row r="394" spans="5:16">
      <c r="E394" s="244"/>
      <c r="F394" s="244"/>
      <c r="G394" s="244"/>
      <c r="H394" s="244"/>
      <c r="I394" s="244"/>
      <c r="J394" s="244"/>
      <c r="K394" s="244"/>
      <c r="L394" s="244"/>
      <c r="M394" s="244"/>
      <c r="N394" s="244"/>
      <c r="O394" s="244"/>
      <c r="P394" s="244"/>
    </row>
    <row r="395" spans="5:16">
      <c r="E395" s="244"/>
      <c r="F395" s="244"/>
      <c r="G395" s="244"/>
      <c r="H395" s="244"/>
      <c r="I395" s="244"/>
      <c r="J395" s="244"/>
      <c r="K395" s="244"/>
      <c r="L395" s="244"/>
      <c r="M395" s="244"/>
      <c r="N395" s="244"/>
      <c r="O395" s="244"/>
      <c r="P395" s="244"/>
    </row>
    <row r="396" spans="5:16">
      <c r="E396" s="244"/>
      <c r="F396" s="244"/>
      <c r="G396" s="244"/>
      <c r="H396" s="244"/>
      <c r="I396" s="244"/>
      <c r="J396" s="244"/>
      <c r="K396" s="244"/>
      <c r="L396" s="244"/>
      <c r="M396" s="244"/>
      <c r="N396" s="244"/>
      <c r="O396" s="244"/>
      <c r="P396" s="244"/>
    </row>
    <row r="397" spans="5:16">
      <c r="E397" s="244"/>
      <c r="F397" s="244"/>
      <c r="G397" s="244"/>
      <c r="H397" s="244"/>
      <c r="I397" s="244"/>
      <c r="J397" s="244"/>
      <c r="K397" s="244"/>
      <c r="L397" s="244"/>
      <c r="M397" s="244"/>
      <c r="N397" s="244"/>
      <c r="O397" s="244"/>
      <c r="P397" s="244"/>
    </row>
    <row r="398" spans="5:16">
      <c r="E398" s="244"/>
      <c r="F398" s="244"/>
      <c r="G398" s="244"/>
      <c r="H398" s="244"/>
      <c r="I398" s="244"/>
      <c r="J398" s="244"/>
      <c r="K398" s="244"/>
      <c r="L398" s="244"/>
      <c r="M398" s="244"/>
      <c r="N398" s="244"/>
      <c r="O398" s="244"/>
      <c r="P398" s="244"/>
    </row>
    <row r="399" spans="5:16">
      <c r="E399" s="244"/>
      <c r="F399" s="244"/>
      <c r="G399" s="244"/>
      <c r="H399" s="244"/>
      <c r="I399" s="244"/>
      <c r="J399" s="244"/>
      <c r="K399" s="244"/>
      <c r="L399" s="244"/>
      <c r="M399" s="244"/>
      <c r="N399" s="244"/>
      <c r="O399" s="244"/>
      <c r="P399" s="244"/>
    </row>
    <row r="400" spans="5:16">
      <c r="E400" s="244"/>
      <c r="F400" s="244"/>
      <c r="G400" s="244"/>
      <c r="H400" s="244"/>
      <c r="I400" s="244"/>
      <c r="J400" s="244"/>
      <c r="K400" s="244"/>
      <c r="L400" s="244"/>
      <c r="M400" s="244"/>
      <c r="N400" s="244"/>
      <c r="O400" s="244"/>
      <c r="P400" s="244"/>
    </row>
    <row r="401" spans="5:16">
      <c r="E401" s="244"/>
      <c r="F401" s="244"/>
      <c r="G401" s="244"/>
      <c r="H401" s="244"/>
      <c r="I401" s="244"/>
      <c r="J401" s="244"/>
      <c r="K401" s="244"/>
      <c r="L401" s="244"/>
      <c r="M401" s="244"/>
      <c r="N401" s="244"/>
      <c r="O401" s="244"/>
      <c r="P401" s="244"/>
    </row>
    <row r="402" spans="5:16">
      <c r="E402" s="244"/>
      <c r="F402" s="244"/>
      <c r="G402" s="244"/>
      <c r="H402" s="244"/>
      <c r="I402" s="244"/>
      <c r="J402" s="244"/>
      <c r="K402" s="244"/>
      <c r="L402" s="244"/>
      <c r="M402" s="244"/>
      <c r="N402" s="244"/>
      <c r="O402" s="244"/>
      <c r="P402" s="244"/>
    </row>
    <row r="403" spans="5:16">
      <c r="E403" s="244"/>
      <c r="F403" s="244"/>
      <c r="G403" s="244"/>
      <c r="H403" s="244"/>
      <c r="I403" s="244"/>
      <c r="J403" s="244"/>
      <c r="K403" s="244"/>
      <c r="L403" s="244"/>
      <c r="M403" s="244"/>
      <c r="N403" s="244"/>
      <c r="O403" s="244"/>
      <c r="P403" s="244"/>
    </row>
    <row r="404" spans="5:16">
      <c r="E404" s="244"/>
      <c r="F404" s="244"/>
      <c r="G404" s="244"/>
      <c r="H404" s="244"/>
      <c r="I404" s="244"/>
      <c r="J404" s="244"/>
      <c r="K404" s="244"/>
      <c r="L404" s="244"/>
      <c r="M404" s="244"/>
      <c r="N404" s="244"/>
      <c r="O404" s="244"/>
      <c r="P404" s="244"/>
    </row>
    <row r="405" spans="5:16">
      <c r="E405" s="244"/>
      <c r="F405" s="244"/>
      <c r="G405" s="244"/>
      <c r="H405" s="244"/>
      <c r="I405" s="244"/>
      <c r="J405" s="244"/>
      <c r="K405" s="244"/>
      <c r="L405" s="244"/>
      <c r="M405" s="244"/>
      <c r="N405" s="244"/>
      <c r="O405" s="244"/>
      <c r="P405" s="244"/>
    </row>
    <row r="406" spans="5:16">
      <c r="E406" s="244"/>
      <c r="F406" s="244"/>
      <c r="G406" s="244"/>
      <c r="H406" s="244"/>
      <c r="I406" s="244"/>
      <c r="J406" s="244"/>
      <c r="K406" s="244"/>
      <c r="L406" s="244"/>
      <c r="M406" s="244"/>
      <c r="N406" s="244"/>
      <c r="O406" s="244"/>
      <c r="P406" s="244"/>
    </row>
    <row r="407" spans="5:16">
      <c r="E407" s="244"/>
      <c r="F407" s="244"/>
      <c r="G407" s="244"/>
      <c r="H407" s="244"/>
      <c r="I407" s="244"/>
      <c r="J407" s="244"/>
      <c r="K407" s="244"/>
      <c r="L407" s="244"/>
      <c r="M407" s="244"/>
      <c r="N407" s="244"/>
      <c r="O407" s="244"/>
      <c r="P407" s="244"/>
    </row>
    <row r="408" spans="5:16">
      <c r="E408" s="244"/>
      <c r="F408" s="244"/>
      <c r="G408" s="244"/>
      <c r="H408" s="244"/>
      <c r="I408" s="244"/>
      <c r="J408" s="244"/>
      <c r="K408" s="244"/>
      <c r="L408" s="244"/>
      <c r="M408" s="244"/>
      <c r="N408" s="244"/>
      <c r="O408" s="244"/>
      <c r="P408" s="244"/>
    </row>
    <row r="409" spans="5:16">
      <c r="E409" s="244"/>
      <c r="F409" s="244"/>
      <c r="G409" s="244"/>
      <c r="H409" s="244"/>
      <c r="I409" s="244"/>
      <c r="J409" s="244"/>
      <c r="K409" s="244"/>
      <c r="L409" s="244"/>
      <c r="M409" s="244"/>
      <c r="N409" s="244"/>
      <c r="O409" s="244"/>
      <c r="P409" s="244"/>
    </row>
    <row r="410" spans="5:16">
      <c r="E410" s="244"/>
      <c r="F410" s="244"/>
      <c r="G410" s="244"/>
      <c r="H410" s="244"/>
      <c r="I410" s="244"/>
      <c r="J410" s="244"/>
      <c r="K410" s="244"/>
      <c r="L410" s="244"/>
      <c r="M410" s="244"/>
      <c r="N410" s="244"/>
      <c r="O410" s="244"/>
      <c r="P410" s="244"/>
    </row>
    <row r="411" spans="5:16">
      <c r="E411" s="244"/>
      <c r="F411" s="244"/>
      <c r="G411" s="244"/>
      <c r="H411" s="244"/>
      <c r="I411" s="244"/>
      <c r="J411" s="244"/>
      <c r="K411" s="244"/>
      <c r="L411" s="244"/>
      <c r="M411" s="244"/>
      <c r="N411" s="244"/>
      <c r="O411" s="244"/>
      <c r="P411" s="244"/>
    </row>
    <row r="412" spans="5:16">
      <c r="E412" s="244"/>
      <c r="F412" s="244"/>
      <c r="G412" s="244"/>
      <c r="H412" s="244"/>
      <c r="I412" s="244"/>
      <c r="J412" s="244"/>
      <c r="K412" s="244"/>
      <c r="L412" s="244"/>
      <c r="M412" s="244"/>
      <c r="N412" s="244"/>
      <c r="O412" s="244"/>
      <c r="P412" s="244"/>
    </row>
    <row r="413" spans="5:16">
      <c r="E413" s="244"/>
      <c r="F413" s="244"/>
      <c r="G413" s="244"/>
      <c r="H413" s="244"/>
      <c r="I413" s="244"/>
      <c r="J413" s="244"/>
      <c r="K413" s="244"/>
      <c r="L413" s="244"/>
      <c r="M413" s="244"/>
      <c r="N413" s="244"/>
      <c r="O413" s="244"/>
      <c r="P413" s="244"/>
    </row>
    <row r="414" spans="5:16">
      <c r="E414" s="244"/>
      <c r="F414" s="244"/>
      <c r="G414" s="244"/>
      <c r="H414" s="244"/>
      <c r="I414" s="244"/>
      <c r="J414" s="244"/>
      <c r="K414" s="244"/>
      <c r="L414" s="244"/>
      <c r="M414" s="244"/>
      <c r="N414" s="244"/>
      <c r="O414" s="244"/>
      <c r="P414" s="244"/>
    </row>
    <row r="415" spans="5:16">
      <c r="E415" s="244"/>
      <c r="F415" s="244"/>
      <c r="G415" s="244"/>
      <c r="H415" s="244"/>
      <c r="I415" s="244"/>
      <c r="J415" s="244"/>
      <c r="K415" s="244"/>
      <c r="L415" s="244"/>
      <c r="M415" s="244"/>
      <c r="N415" s="244"/>
      <c r="O415" s="244"/>
      <c r="P415" s="244"/>
    </row>
    <row r="416" spans="5:16">
      <c r="E416" s="244"/>
      <c r="F416" s="244"/>
      <c r="G416" s="244"/>
      <c r="H416" s="244"/>
      <c r="I416" s="244"/>
      <c r="J416" s="244"/>
      <c r="K416" s="244"/>
      <c r="L416" s="244"/>
      <c r="M416" s="244"/>
      <c r="N416" s="244"/>
      <c r="O416" s="244"/>
      <c r="P416" s="244"/>
    </row>
    <row r="417" spans="5:16">
      <c r="E417" s="244"/>
      <c r="F417" s="244"/>
      <c r="G417" s="244"/>
      <c r="H417" s="244"/>
      <c r="I417" s="244"/>
      <c r="J417" s="244"/>
      <c r="K417" s="244"/>
      <c r="L417" s="244"/>
      <c r="M417" s="244"/>
      <c r="N417" s="244"/>
      <c r="O417" s="244"/>
      <c r="P417" s="244"/>
    </row>
    <row r="418" spans="5:16">
      <c r="E418" s="244"/>
      <c r="F418" s="244"/>
      <c r="G418" s="244"/>
      <c r="H418" s="244"/>
      <c r="I418" s="244"/>
      <c r="J418" s="244"/>
      <c r="K418" s="244"/>
      <c r="L418" s="244"/>
      <c r="M418" s="244"/>
      <c r="N418" s="244"/>
      <c r="O418" s="244"/>
      <c r="P418" s="244"/>
    </row>
    <row r="419" spans="5:16">
      <c r="E419" s="244"/>
      <c r="F419" s="244"/>
      <c r="G419" s="244"/>
      <c r="H419" s="244"/>
      <c r="I419" s="244"/>
      <c r="J419" s="244"/>
      <c r="K419" s="244"/>
      <c r="L419" s="244"/>
      <c r="M419" s="244"/>
      <c r="N419" s="244"/>
      <c r="O419" s="244"/>
      <c r="P419" s="244"/>
    </row>
    <row r="420" spans="5:16">
      <c r="E420" s="244"/>
      <c r="F420" s="244"/>
      <c r="G420" s="244"/>
      <c r="H420" s="244"/>
      <c r="I420" s="244"/>
      <c r="J420" s="244"/>
      <c r="K420" s="244"/>
      <c r="L420" s="244"/>
      <c r="M420" s="244"/>
      <c r="N420" s="244"/>
      <c r="O420" s="244"/>
      <c r="P420" s="244"/>
    </row>
    <row r="421" spans="5:16">
      <c r="E421" s="244"/>
      <c r="F421" s="244"/>
      <c r="G421" s="244"/>
      <c r="H421" s="244"/>
      <c r="I421" s="244"/>
      <c r="J421" s="244"/>
      <c r="K421" s="244"/>
      <c r="L421" s="244"/>
      <c r="M421" s="244"/>
      <c r="N421" s="244"/>
      <c r="O421" s="244"/>
      <c r="P421" s="244"/>
    </row>
    <row r="422" spans="5:16">
      <c r="E422" s="244"/>
      <c r="F422" s="244"/>
      <c r="G422" s="244"/>
      <c r="H422" s="244"/>
      <c r="I422" s="244"/>
      <c r="J422" s="244"/>
      <c r="K422" s="244"/>
      <c r="L422" s="244"/>
      <c r="M422" s="244"/>
      <c r="N422" s="244"/>
      <c r="O422" s="244"/>
      <c r="P422" s="244"/>
    </row>
    <row r="423" spans="5:16">
      <c r="E423" s="244"/>
      <c r="F423" s="244"/>
      <c r="G423" s="244"/>
      <c r="H423" s="244"/>
      <c r="I423" s="244"/>
      <c r="J423" s="244"/>
      <c r="K423" s="244"/>
      <c r="L423" s="244"/>
      <c r="M423" s="244"/>
      <c r="N423" s="244"/>
      <c r="O423" s="244"/>
      <c r="P423" s="244"/>
    </row>
    <row r="424" spans="5:16">
      <c r="E424" s="244"/>
      <c r="F424" s="244"/>
      <c r="G424" s="244"/>
      <c r="H424" s="244"/>
      <c r="I424" s="244"/>
      <c r="J424" s="244"/>
      <c r="K424" s="244"/>
      <c r="L424" s="244"/>
      <c r="M424" s="244"/>
      <c r="N424" s="244"/>
      <c r="O424" s="244"/>
      <c r="P424" s="244"/>
    </row>
    <row r="425" spans="5:16">
      <c r="E425" s="244"/>
      <c r="F425" s="244"/>
      <c r="G425" s="244"/>
      <c r="H425" s="244"/>
      <c r="I425" s="244"/>
      <c r="J425" s="244"/>
      <c r="K425" s="244"/>
      <c r="L425" s="244"/>
      <c r="M425" s="244"/>
      <c r="N425" s="244"/>
      <c r="O425" s="244"/>
      <c r="P425" s="244"/>
    </row>
    <row r="426" spans="5:16">
      <c r="E426" s="244"/>
      <c r="F426" s="244"/>
      <c r="G426" s="244"/>
      <c r="H426" s="244"/>
      <c r="I426" s="244"/>
      <c r="J426" s="244"/>
      <c r="K426" s="244"/>
      <c r="L426" s="244"/>
      <c r="M426" s="244"/>
      <c r="N426" s="244"/>
      <c r="O426" s="244"/>
      <c r="P426" s="244"/>
    </row>
    <row r="427" spans="5:16">
      <c r="E427" s="244"/>
      <c r="F427" s="244"/>
      <c r="G427" s="244"/>
      <c r="H427" s="244"/>
      <c r="I427" s="244"/>
      <c r="J427" s="244"/>
      <c r="K427" s="244"/>
      <c r="L427" s="244"/>
      <c r="M427" s="244"/>
      <c r="N427" s="244"/>
      <c r="O427" s="244"/>
      <c r="P427" s="244"/>
    </row>
    <row r="428" spans="5:16">
      <c r="E428" s="244"/>
      <c r="F428" s="244"/>
      <c r="G428" s="244"/>
      <c r="H428" s="244"/>
      <c r="I428" s="244"/>
      <c r="J428" s="244"/>
      <c r="K428" s="244"/>
      <c r="L428" s="244"/>
      <c r="M428" s="244"/>
      <c r="N428" s="244"/>
      <c r="O428" s="244"/>
      <c r="P428" s="244"/>
    </row>
    <row r="429" spans="5:16">
      <c r="E429" s="244"/>
      <c r="F429" s="244"/>
      <c r="G429" s="244"/>
      <c r="H429" s="244"/>
      <c r="I429" s="244"/>
      <c r="J429" s="244"/>
      <c r="K429" s="244"/>
      <c r="L429" s="244"/>
      <c r="M429" s="244"/>
      <c r="N429" s="244"/>
      <c r="O429" s="244"/>
      <c r="P429" s="244"/>
    </row>
    <row r="430" spans="5:16">
      <c r="E430" s="244"/>
      <c r="F430" s="244"/>
      <c r="G430" s="244"/>
      <c r="H430" s="244"/>
      <c r="I430" s="244"/>
      <c r="J430" s="244"/>
      <c r="K430" s="244"/>
      <c r="L430" s="244"/>
      <c r="M430" s="244"/>
      <c r="N430" s="244"/>
      <c r="O430" s="244"/>
      <c r="P430" s="244"/>
    </row>
    <row r="431" spans="5:16">
      <c r="E431" s="244"/>
      <c r="F431" s="244"/>
      <c r="G431" s="244"/>
      <c r="H431" s="244"/>
      <c r="I431" s="244"/>
      <c r="J431" s="244"/>
      <c r="K431" s="244"/>
      <c r="L431" s="244"/>
      <c r="M431" s="244"/>
      <c r="N431" s="244"/>
      <c r="O431" s="244"/>
      <c r="P431" s="244"/>
    </row>
    <row r="432" spans="5:16">
      <c r="E432" s="244"/>
      <c r="F432" s="244"/>
      <c r="G432" s="244"/>
      <c r="H432" s="244"/>
      <c r="I432" s="244"/>
      <c r="J432" s="244"/>
      <c r="K432" s="244"/>
      <c r="L432" s="244"/>
      <c r="M432" s="244"/>
      <c r="N432" s="244"/>
      <c r="O432" s="244"/>
      <c r="P432" s="244"/>
    </row>
    <row r="433" spans="5:16">
      <c r="E433" s="244"/>
      <c r="F433" s="244"/>
      <c r="G433" s="244"/>
      <c r="H433" s="244"/>
      <c r="I433" s="244"/>
      <c r="J433" s="244"/>
      <c r="K433" s="244"/>
      <c r="L433" s="244"/>
      <c r="M433" s="244"/>
      <c r="N433" s="244"/>
      <c r="O433" s="244"/>
      <c r="P433" s="244"/>
    </row>
    <row r="434" spans="5:16">
      <c r="E434" s="244"/>
      <c r="F434" s="244"/>
      <c r="G434" s="244"/>
      <c r="H434" s="244"/>
      <c r="I434" s="244"/>
      <c r="J434" s="244"/>
      <c r="K434" s="244"/>
      <c r="L434" s="244"/>
      <c r="M434" s="244"/>
      <c r="N434" s="244"/>
      <c r="O434" s="244"/>
      <c r="P434" s="244"/>
    </row>
    <row r="435" spans="5:16">
      <c r="E435" s="244"/>
      <c r="F435" s="244"/>
      <c r="G435" s="244"/>
      <c r="H435" s="244"/>
      <c r="I435" s="244"/>
      <c r="J435" s="244"/>
      <c r="K435" s="244"/>
      <c r="L435" s="244"/>
      <c r="M435" s="244"/>
      <c r="N435" s="244"/>
      <c r="O435" s="244"/>
      <c r="P435" s="244"/>
    </row>
    <row r="436" spans="5:16">
      <c r="E436" s="244"/>
      <c r="F436" s="244"/>
      <c r="G436" s="244"/>
      <c r="H436" s="244"/>
      <c r="I436" s="244"/>
      <c r="J436" s="244"/>
      <c r="K436" s="244"/>
      <c r="L436" s="244"/>
      <c r="M436" s="244"/>
      <c r="N436" s="244"/>
      <c r="O436" s="244"/>
      <c r="P436" s="244"/>
    </row>
    <row r="437" spans="5:16">
      <c r="E437" s="244"/>
      <c r="F437" s="244"/>
      <c r="G437" s="244"/>
      <c r="H437" s="244"/>
      <c r="I437" s="244"/>
      <c r="J437" s="244"/>
      <c r="K437" s="244"/>
      <c r="L437" s="244"/>
      <c r="M437" s="244"/>
      <c r="N437" s="244"/>
      <c r="O437" s="244"/>
      <c r="P437" s="244"/>
    </row>
    <row r="438" spans="5:16">
      <c r="E438" s="244"/>
      <c r="F438" s="244"/>
      <c r="G438" s="244"/>
      <c r="H438" s="244"/>
      <c r="I438" s="244"/>
      <c r="J438" s="244"/>
      <c r="K438" s="244"/>
      <c r="L438" s="244"/>
      <c r="M438" s="244"/>
      <c r="N438" s="244"/>
      <c r="O438" s="244"/>
      <c r="P438" s="244"/>
    </row>
    <row r="439" spans="5:16">
      <c r="E439" s="244"/>
      <c r="F439" s="244"/>
      <c r="G439" s="244"/>
      <c r="H439" s="244"/>
      <c r="I439" s="244"/>
      <c r="J439" s="244"/>
      <c r="K439" s="244"/>
      <c r="L439" s="244"/>
      <c r="M439" s="244"/>
      <c r="N439" s="244"/>
      <c r="O439" s="244"/>
      <c r="P439" s="244"/>
    </row>
    <row r="440" spans="5:16">
      <c r="E440" s="244"/>
      <c r="F440" s="244"/>
      <c r="G440" s="244"/>
      <c r="H440" s="244"/>
      <c r="I440" s="244"/>
      <c r="J440" s="244"/>
      <c r="K440" s="244"/>
      <c r="L440" s="244"/>
      <c r="M440" s="244"/>
      <c r="N440" s="244"/>
      <c r="O440" s="244"/>
      <c r="P440" s="244"/>
    </row>
    <row r="441" spans="5:16">
      <c r="E441" s="244"/>
      <c r="F441" s="244"/>
      <c r="G441" s="244"/>
      <c r="H441" s="244"/>
      <c r="I441" s="244"/>
      <c r="J441" s="244"/>
      <c r="K441" s="244"/>
      <c r="L441" s="244"/>
      <c r="M441" s="244"/>
      <c r="N441" s="244"/>
      <c r="O441" s="244"/>
      <c r="P441" s="244"/>
    </row>
    <row r="442" spans="5:16">
      <c r="E442" s="244"/>
      <c r="F442" s="244"/>
      <c r="G442" s="244"/>
      <c r="H442" s="244"/>
      <c r="I442" s="244"/>
      <c r="J442" s="244"/>
      <c r="K442" s="244"/>
      <c r="L442" s="244"/>
      <c r="M442" s="244"/>
      <c r="N442" s="244"/>
      <c r="O442" s="244"/>
      <c r="P442" s="244"/>
    </row>
    <row r="443" spans="5:16">
      <c r="E443" s="244"/>
      <c r="F443" s="244"/>
      <c r="G443" s="244"/>
      <c r="H443" s="244"/>
      <c r="I443" s="244"/>
      <c r="J443" s="244"/>
      <c r="K443" s="244"/>
      <c r="L443" s="244"/>
      <c r="M443" s="244"/>
      <c r="N443" s="244"/>
      <c r="O443" s="244"/>
      <c r="P443" s="244"/>
    </row>
    <row r="444" spans="5:16">
      <c r="E444" s="244"/>
      <c r="F444" s="244"/>
      <c r="G444" s="244"/>
      <c r="H444" s="244"/>
      <c r="I444" s="244"/>
      <c r="J444" s="244"/>
      <c r="K444" s="244"/>
      <c r="L444" s="244"/>
      <c r="M444" s="244"/>
      <c r="N444" s="244"/>
      <c r="O444" s="244"/>
      <c r="P444" s="244"/>
    </row>
    <row r="445" spans="5:16">
      <c r="E445" s="244"/>
      <c r="F445" s="244"/>
      <c r="G445" s="244"/>
      <c r="H445" s="244"/>
      <c r="I445" s="244"/>
      <c r="J445" s="244"/>
      <c r="K445" s="244"/>
      <c r="L445" s="244"/>
      <c r="M445" s="244"/>
      <c r="N445" s="244"/>
      <c r="O445" s="244"/>
      <c r="P445" s="244"/>
    </row>
    <row r="446" spans="5:16">
      <c r="E446" s="244"/>
      <c r="F446" s="244"/>
      <c r="G446" s="244"/>
      <c r="H446" s="244"/>
      <c r="I446" s="244"/>
      <c r="J446" s="244"/>
      <c r="K446" s="244"/>
      <c r="L446" s="244"/>
      <c r="M446" s="244"/>
      <c r="N446" s="244"/>
      <c r="O446" s="244"/>
      <c r="P446" s="244"/>
    </row>
    <row r="447" spans="5:16">
      <c r="E447" s="244"/>
      <c r="F447" s="244"/>
      <c r="G447" s="244"/>
      <c r="H447" s="244"/>
      <c r="I447" s="244"/>
      <c r="J447" s="244"/>
      <c r="K447" s="244"/>
      <c r="L447" s="244"/>
      <c r="M447" s="244"/>
      <c r="N447" s="244"/>
      <c r="O447" s="244"/>
      <c r="P447" s="244"/>
    </row>
    <row r="448" spans="5:16">
      <c r="E448" s="244"/>
      <c r="F448" s="244"/>
      <c r="G448" s="244"/>
      <c r="H448" s="244"/>
      <c r="I448" s="244"/>
      <c r="J448" s="244"/>
      <c r="K448" s="244"/>
      <c r="L448" s="244"/>
      <c r="M448" s="244"/>
      <c r="N448" s="244"/>
      <c r="O448" s="244"/>
      <c r="P448" s="244"/>
    </row>
    <row r="449" spans="5:16">
      <c r="E449" s="244"/>
      <c r="F449" s="244"/>
      <c r="G449" s="244"/>
      <c r="H449" s="244"/>
      <c r="I449" s="244"/>
      <c r="J449" s="244"/>
      <c r="K449" s="244"/>
      <c r="L449" s="244"/>
      <c r="M449" s="244"/>
      <c r="N449" s="244"/>
      <c r="O449" s="244"/>
      <c r="P449" s="244"/>
    </row>
    <row r="450" spans="5:16">
      <c r="E450" s="244"/>
      <c r="F450" s="244"/>
      <c r="G450" s="244"/>
      <c r="H450" s="244"/>
      <c r="I450" s="244"/>
      <c r="J450" s="244"/>
      <c r="K450" s="244"/>
      <c r="L450" s="244"/>
      <c r="M450" s="244"/>
      <c r="N450" s="244"/>
      <c r="O450" s="244"/>
      <c r="P450" s="244"/>
    </row>
    <row r="451" spans="5:16">
      <c r="E451" s="244"/>
      <c r="F451" s="244"/>
      <c r="G451" s="244"/>
      <c r="H451" s="244"/>
      <c r="I451" s="244"/>
      <c r="J451" s="244"/>
      <c r="K451" s="244"/>
      <c r="L451" s="244"/>
      <c r="M451" s="244"/>
      <c r="N451" s="244"/>
      <c r="O451" s="244"/>
      <c r="P451" s="244"/>
    </row>
    <row r="452" spans="5:16">
      <c r="E452" s="244"/>
      <c r="F452" s="244"/>
      <c r="G452" s="244"/>
      <c r="H452" s="244"/>
      <c r="I452" s="244"/>
      <c r="J452" s="244"/>
      <c r="K452" s="244"/>
      <c r="L452" s="244"/>
      <c r="M452" s="244"/>
      <c r="N452" s="244"/>
      <c r="O452" s="244"/>
      <c r="P452" s="244"/>
    </row>
    <row r="453" spans="5:16">
      <c r="E453" s="244"/>
      <c r="F453" s="244"/>
      <c r="G453" s="244"/>
      <c r="H453" s="244"/>
      <c r="I453" s="244"/>
      <c r="J453" s="244"/>
      <c r="K453" s="244"/>
      <c r="L453" s="244"/>
      <c r="M453" s="244"/>
      <c r="N453" s="244"/>
      <c r="O453" s="244"/>
      <c r="P453" s="244"/>
    </row>
    <row r="454" spans="5:16">
      <c r="E454" s="244"/>
      <c r="F454" s="244"/>
      <c r="G454" s="244"/>
      <c r="H454" s="244"/>
      <c r="I454" s="244"/>
      <c r="J454" s="244"/>
      <c r="K454" s="244"/>
      <c r="L454" s="244"/>
      <c r="M454" s="244"/>
      <c r="N454" s="244"/>
      <c r="O454" s="244"/>
      <c r="P454" s="244"/>
    </row>
    <row r="455" spans="5:16">
      <c r="E455" s="244"/>
      <c r="F455" s="244"/>
      <c r="G455" s="244"/>
      <c r="H455" s="244"/>
      <c r="I455" s="244"/>
      <c r="J455" s="244"/>
      <c r="K455" s="244"/>
      <c r="L455" s="244"/>
      <c r="M455" s="244"/>
      <c r="N455" s="244"/>
      <c r="O455" s="244"/>
      <c r="P455" s="244"/>
    </row>
    <row r="456" spans="5:16">
      <c r="E456" s="244"/>
      <c r="F456" s="244"/>
      <c r="G456" s="244"/>
      <c r="H456" s="244"/>
      <c r="I456" s="244"/>
      <c r="J456" s="244"/>
      <c r="K456" s="244"/>
      <c r="L456" s="244"/>
      <c r="M456" s="244"/>
      <c r="N456" s="244"/>
      <c r="O456" s="244"/>
      <c r="P456" s="244"/>
    </row>
    <row r="457" spans="5:16">
      <c r="E457" s="244"/>
      <c r="F457" s="244"/>
      <c r="G457" s="244"/>
      <c r="H457" s="244"/>
      <c r="I457" s="244"/>
      <c r="J457" s="244"/>
      <c r="K457" s="244"/>
      <c r="L457" s="244"/>
      <c r="M457" s="244"/>
      <c r="N457" s="244"/>
      <c r="O457" s="244"/>
      <c r="P457" s="244"/>
    </row>
    <row r="458" spans="5:16">
      <c r="E458" s="244"/>
      <c r="F458" s="244"/>
      <c r="G458" s="244"/>
      <c r="H458" s="244"/>
      <c r="I458" s="244"/>
      <c r="J458" s="244"/>
      <c r="K458" s="244"/>
      <c r="L458" s="244"/>
      <c r="M458" s="244"/>
      <c r="N458" s="244"/>
      <c r="O458" s="244"/>
      <c r="P458" s="244"/>
    </row>
    <row r="459" spans="5:16">
      <c r="E459" s="244"/>
      <c r="F459" s="244"/>
      <c r="G459" s="244"/>
      <c r="H459" s="244"/>
      <c r="I459" s="244"/>
      <c r="J459" s="244"/>
      <c r="K459" s="244"/>
      <c r="L459" s="244"/>
      <c r="M459" s="244"/>
      <c r="N459" s="244"/>
      <c r="O459" s="244"/>
      <c r="P459" s="244"/>
    </row>
    <row r="460" spans="5:16">
      <c r="E460" s="244"/>
      <c r="F460" s="244"/>
      <c r="G460" s="244"/>
      <c r="H460" s="244"/>
      <c r="I460" s="244"/>
      <c r="J460" s="244"/>
      <c r="K460" s="244"/>
      <c r="L460" s="244"/>
      <c r="M460" s="244"/>
      <c r="N460" s="244"/>
      <c r="O460" s="244"/>
      <c r="P460" s="244"/>
    </row>
    <row r="461" spans="5:16">
      <c r="E461" s="244"/>
      <c r="F461" s="244"/>
      <c r="G461" s="244"/>
      <c r="H461" s="244"/>
      <c r="I461" s="244"/>
      <c r="J461" s="244"/>
      <c r="K461" s="244"/>
      <c r="L461" s="244"/>
      <c r="M461" s="244"/>
      <c r="N461" s="244"/>
      <c r="O461" s="244"/>
      <c r="P461" s="244"/>
    </row>
    <row r="462" spans="5:16">
      <c r="E462" s="244"/>
      <c r="F462" s="244"/>
      <c r="G462" s="244"/>
      <c r="H462" s="244"/>
      <c r="I462" s="244"/>
      <c r="J462" s="244"/>
      <c r="K462" s="244"/>
      <c r="L462" s="244"/>
      <c r="M462" s="244"/>
      <c r="N462" s="244"/>
      <c r="O462" s="244"/>
      <c r="P462" s="244"/>
    </row>
    <row r="463" spans="5:16">
      <c r="E463" s="244"/>
      <c r="F463" s="244"/>
      <c r="G463" s="244"/>
      <c r="H463" s="244"/>
      <c r="I463" s="244"/>
      <c r="J463" s="244"/>
      <c r="K463" s="244"/>
      <c r="L463" s="244"/>
      <c r="M463" s="244"/>
      <c r="N463" s="244"/>
      <c r="O463" s="244"/>
      <c r="P463" s="244"/>
    </row>
    <row r="464" spans="5:16">
      <c r="E464" s="244"/>
      <c r="F464" s="244"/>
      <c r="G464" s="244"/>
      <c r="H464" s="244"/>
      <c r="I464" s="244"/>
      <c r="J464" s="244"/>
      <c r="K464" s="244"/>
      <c r="L464" s="244"/>
      <c r="M464" s="244"/>
      <c r="N464" s="244"/>
      <c r="O464" s="244"/>
      <c r="P464" s="244"/>
    </row>
    <row r="465" spans="5:16">
      <c r="E465" s="244"/>
      <c r="F465" s="244"/>
      <c r="G465" s="244"/>
      <c r="H465" s="244"/>
      <c r="I465" s="244"/>
      <c r="J465" s="244"/>
      <c r="K465" s="244"/>
      <c r="L465" s="244"/>
      <c r="M465" s="244"/>
      <c r="N465" s="244"/>
      <c r="O465" s="244"/>
      <c r="P465" s="244"/>
    </row>
    <row r="466" spans="5:16">
      <c r="E466" s="244"/>
      <c r="F466" s="244"/>
      <c r="G466" s="244"/>
      <c r="H466" s="244"/>
      <c r="I466" s="244"/>
      <c r="J466" s="244"/>
      <c r="K466" s="244"/>
      <c r="L466" s="244"/>
      <c r="M466" s="244"/>
      <c r="N466" s="244"/>
      <c r="O466" s="244"/>
      <c r="P466" s="244"/>
    </row>
    <row r="467" spans="5:16">
      <c r="E467" s="244"/>
      <c r="F467" s="244"/>
      <c r="G467" s="244"/>
      <c r="H467" s="244"/>
      <c r="I467" s="244"/>
      <c r="J467" s="244"/>
      <c r="K467" s="244"/>
      <c r="L467" s="244"/>
      <c r="M467" s="244"/>
      <c r="N467" s="244"/>
      <c r="O467" s="244"/>
      <c r="P467" s="244"/>
    </row>
    <row r="468" spans="5:16">
      <c r="E468" s="244"/>
      <c r="F468" s="244"/>
      <c r="G468" s="244"/>
      <c r="H468" s="244"/>
      <c r="I468" s="244"/>
      <c r="J468" s="244"/>
      <c r="K468" s="244"/>
      <c r="L468" s="244"/>
      <c r="M468" s="244"/>
      <c r="N468" s="244"/>
      <c r="O468" s="244"/>
      <c r="P468" s="244"/>
    </row>
    <row r="469" spans="5:16">
      <c r="E469" s="244"/>
      <c r="F469" s="244"/>
      <c r="G469" s="244"/>
      <c r="H469" s="244"/>
      <c r="I469" s="244"/>
      <c r="J469" s="244"/>
      <c r="K469" s="244"/>
      <c r="L469" s="244"/>
      <c r="M469" s="244"/>
      <c r="N469" s="244"/>
      <c r="O469" s="244"/>
      <c r="P469" s="244"/>
    </row>
    <row r="470" spans="5:16">
      <c r="E470" s="244"/>
      <c r="F470" s="244"/>
      <c r="G470" s="244"/>
      <c r="H470" s="244"/>
      <c r="I470" s="244"/>
      <c r="J470" s="244"/>
      <c r="K470" s="244"/>
      <c r="L470" s="244"/>
      <c r="M470" s="244"/>
      <c r="N470" s="244"/>
      <c r="O470" s="244"/>
      <c r="P470" s="244"/>
    </row>
    <row r="471" spans="5:16">
      <c r="E471" s="244"/>
      <c r="F471" s="244"/>
      <c r="G471" s="244"/>
      <c r="H471" s="244"/>
      <c r="I471" s="244"/>
      <c r="J471" s="244"/>
      <c r="K471" s="244"/>
      <c r="L471" s="244"/>
      <c r="M471" s="244"/>
      <c r="N471" s="244"/>
      <c r="O471" s="244"/>
      <c r="P471" s="244"/>
    </row>
    <row r="472" spans="5:16">
      <c r="E472" s="244"/>
      <c r="F472" s="244"/>
      <c r="G472" s="244"/>
      <c r="H472" s="244"/>
      <c r="I472" s="244"/>
      <c r="J472" s="244"/>
      <c r="K472" s="244"/>
      <c r="L472" s="244"/>
      <c r="M472" s="244"/>
      <c r="N472" s="244"/>
      <c r="O472" s="244"/>
      <c r="P472" s="244"/>
    </row>
    <row r="473" spans="5:16">
      <c r="E473" s="244"/>
      <c r="F473" s="244"/>
      <c r="G473" s="244"/>
      <c r="H473" s="244"/>
      <c r="I473" s="244"/>
      <c r="J473" s="244"/>
      <c r="K473" s="244"/>
      <c r="L473" s="244"/>
      <c r="M473" s="244"/>
      <c r="N473" s="244"/>
      <c r="O473" s="244"/>
      <c r="P473" s="244"/>
    </row>
    <row r="474" spans="5:16">
      <c r="E474" s="244"/>
      <c r="F474" s="244"/>
      <c r="G474" s="244"/>
      <c r="H474" s="244"/>
      <c r="I474" s="244"/>
      <c r="J474" s="244"/>
      <c r="K474" s="244"/>
      <c r="L474" s="244"/>
      <c r="M474" s="244"/>
      <c r="N474" s="244"/>
      <c r="O474" s="244"/>
      <c r="P474" s="244"/>
    </row>
    <row r="475" spans="5:16">
      <c r="E475" s="244"/>
      <c r="F475" s="244"/>
      <c r="G475" s="244"/>
      <c r="H475" s="244"/>
      <c r="I475" s="244"/>
      <c r="J475" s="244"/>
      <c r="K475" s="244"/>
      <c r="L475" s="244"/>
      <c r="M475" s="244"/>
      <c r="N475" s="244"/>
      <c r="O475" s="244"/>
      <c r="P475" s="244"/>
    </row>
    <row r="476" spans="5:16">
      <c r="E476" s="244"/>
      <c r="F476" s="244"/>
      <c r="G476" s="244"/>
      <c r="H476" s="244"/>
      <c r="I476" s="244"/>
      <c r="J476" s="244"/>
      <c r="K476" s="244"/>
      <c r="L476" s="244"/>
      <c r="M476" s="244"/>
      <c r="N476" s="244"/>
      <c r="O476" s="244"/>
      <c r="P476" s="244"/>
    </row>
    <row r="477" spans="5:16">
      <c r="E477" s="244"/>
      <c r="F477" s="244"/>
      <c r="G477" s="244"/>
      <c r="H477" s="244"/>
      <c r="I477" s="244"/>
      <c r="J477" s="244"/>
      <c r="K477" s="244"/>
      <c r="L477" s="244"/>
      <c r="M477" s="244"/>
      <c r="N477" s="244"/>
      <c r="O477" s="244"/>
      <c r="P477" s="244"/>
    </row>
    <row r="478" spans="5:16">
      <c r="E478" s="244"/>
      <c r="F478" s="244"/>
      <c r="G478" s="244"/>
      <c r="H478" s="244"/>
      <c r="I478" s="244"/>
      <c r="J478" s="244"/>
      <c r="K478" s="244"/>
      <c r="L478" s="244"/>
      <c r="M478" s="244"/>
      <c r="N478" s="244"/>
      <c r="O478" s="244"/>
      <c r="P478" s="244"/>
    </row>
    <row r="479" spans="5:16">
      <c r="E479" s="244"/>
      <c r="F479" s="244"/>
      <c r="G479" s="244"/>
      <c r="H479" s="244"/>
      <c r="I479" s="244"/>
      <c r="J479" s="244"/>
      <c r="K479" s="244"/>
      <c r="L479" s="244"/>
      <c r="M479" s="244"/>
      <c r="N479" s="244"/>
      <c r="O479" s="244"/>
      <c r="P479" s="244"/>
    </row>
    <row r="480" spans="5:16">
      <c r="E480" s="244"/>
      <c r="F480" s="244"/>
      <c r="G480" s="244"/>
      <c r="H480" s="244"/>
      <c r="I480" s="244"/>
      <c r="J480" s="244"/>
      <c r="K480" s="244"/>
      <c r="L480" s="244"/>
      <c r="M480" s="244"/>
      <c r="N480" s="244"/>
      <c r="O480" s="244"/>
      <c r="P480" s="244"/>
    </row>
    <row r="481" spans="5:16">
      <c r="E481" s="244"/>
      <c r="F481" s="244"/>
      <c r="G481" s="244"/>
      <c r="H481" s="244"/>
      <c r="I481" s="244"/>
      <c r="J481" s="244"/>
      <c r="K481" s="244"/>
      <c r="L481" s="244"/>
      <c r="M481" s="244"/>
      <c r="N481" s="244"/>
      <c r="O481" s="244"/>
      <c r="P481" s="244"/>
    </row>
    <row r="482" spans="5:16">
      <c r="E482" s="244"/>
      <c r="F482" s="244"/>
      <c r="G482" s="244"/>
      <c r="H482" s="244"/>
      <c r="I482" s="244"/>
      <c r="J482" s="244"/>
      <c r="K482" s="244"/>
      <c r="L482" s="244"/>
      <c r="M482" s="244"/>
      <c r="N482" s="244"/>
      <c r="O482" s="244"/>
      <c r="P482" s="244"/>
    </row>
    <row r="483" spans="5:16">
      <c r="E483" s="244"/>
      <c r="F483" s="244"/>
      <c r="G483" s="244"/>
      <c r="H483" s="244"/>
      <c r="I483" s="244"/>
      <c r="J483" s="244"/>
      <c r="K483" s="244"/>
      <c r="L483" s="244"/>
      <c r="M483" s="244"/>
      <c r="N483" s="244"/>
      <c r="O483" s="244"/>
      <c r="P483" s="244"/>
    </row>
    <row r="484" spans="5:16">
      <c r="E484" s="244"/>
      <c r="F484" s="244"/>
      <c r="G484" s="244"/>
      <c r="H484" s="244"/>
      <c r="I484" s="244"/>
      <c r="J484" s="244"/>
      <c r="K484" s="244"/>
      <c r="L484" s="244"/>
      <c r="M484" s="244"/>
      <c r="N484" s="244"/>
      <c r="O484" s="244"/>
      <c r="P484" s="244"/>
    </row>
    <row r="485" spans="5:16">
      <c r="E485" s="244"/>
      <c r="F485" s="244"/>
      <c r="G485" s="244"/>
      <c r="H485" s="244"/>
      <c r="I485" s="244"/>
      <c r="J485" s="244"/>
      <c r="K485" s="244"/>
      <c r="L485" s="244"/>
      <c r="M485" s="244"/>
      <c r="N485" s="244"/>
      <c r="O485" s="244"/>
      <c r="P485" s="244"/>
    </row>
    <row r="486" spans="5:16">
      <c r="E486" s="244"/>
      <c r="F486" s="244"/>
      <c r="G486" s="244"/>
      <c r="H486" s="244"/>
      <c r="I486" s="244"/>
      <c r="J486" s="244"/>
      <c r="K486" s="244"/>
      <c r="L486" s="244"/>
      <c r="M486" s="244"/>
      <c r="N486" s="244"/>
      <c r="O486" s="244"/>
      <c r="P486" s="244"/>
    </row>
    <row r="487" spans="5:16">
      <c r="E487" s="244"/>
      <c r="F487" s="244"/>
      <c r="G487" s="244"/>
      <c r="H487" s="244"/>
      <c r="I487" s="244"/>
      <c r="J487" s="244"/>
      <c r="K487" s="244"/>
      <c r="L487" s="244"/>
      <c r="M487" s="244"/>
      <c r="N487" s="244"/>
      <c r="O487" s="244"/>
      <c r="P487" s="244"/>
    </row>
    <row r="488" spans="5:16">
      <c r="E488" s="244"/>
      <c r="F488" s="244"/>
      <c r="G488" s="244"/>
      <c r="H488" s="244"/>
      <c r="I488" s="244"/>
      <c r="J488" s="244"/>
      <c r="K488" s="244"/>
      <c r="L488" s="244"/>
      <c r="M488" s="244"/>
      <c r="N488" s="244"/>
      <c r="O488" s="244"/>
      <c r="P488" s="244"/>
    </row>
    <row r="489" spans="5:16">
      <c r="E489" s="244"/>
      <c r="F489" s="244"/>
      <c r="G489" s="244"/>
      <c r="H489" s="244"/>
      <c r="I489" s="244"/>
      <c r="J489" s="244"/>
      <c r="K489" s="244"/>
      <c r="L489" s="244"/>
      <c r="M489" s="244"/>
      <c r="N489" s="244"/>
      <c r="O489" s="244"/>
      <c r="P489" s="244"/>
    </row>
    <row r="490" spans="5:16">
      <c r="E490" s="244"/>
      <c r="F490" s="244"/>
      <c r="G490" s="244"/>
      <c r="H490" s="244"/>
      <c r="I490" s="244"/>
      <c r="J490" s="244"/>
      <c r="K490" s="244"/>
      <c r="L490" s="244"/>
      <c r="M490" s="244"/>
      <c r="N490" s="244"/>
      <c r="O490" s="244"/>
      <c r="P490" s="244"/>
    </row>
    <row r="491" spans="5:16">
      <c r="E491" s="244"/>
      <c r="F491" s="244"/>
      <c r="G491" s="244"/>
      <c r="H491" s="244"/>
      <c r="I491" s="244"/>
      <c r="J491" s="244"/>
      <c r="K491" s="244"/>
      <c r="L491" s="244"/>
      <c r="M491" s="244"/>
      <c r="N491" s="244"/>
      <c r="O491" s="244"/>
      <c r="P491" s="244"/>
    </row>
    <row r="492" spans="5:16">
      <c r="E492" s="244"/>
      <c r="F492" s="244"/>
      <c r="G492" s="244"/>
      <c r="H492" s="244"/>
      <c r="I492" s="244"/>
      <c r="J492" s="244"/>
      <c r="K492" s="244"/>
      <c r="L492" s="244"/>
      <c r="M492" s="244"/>
      <c r="N492" s="244"/>
      <c r="O492" s="244"/>
      <c r="P492" s="244"/>
    </row>
    <row r="493" spans="5:16">
      <c r="E493" s="244"/>
      <c r="F493" s="244"/>
      <c r="G493" s="244"/>
      <c r="H493" s="244"/>
      <c r="I493" s="244"/>
      <c r="J493" s="244"/>
      <c r="K493" s="244"/>
      <c r="L493" s="244"/>
      <c r="M493" s="244"/>
      <c r="N493" s="244"/>
      <c r="O493" s="244"/>
      <c r="P493" s="244"/>
    </row>
    <row r="494" spans="5:16">
      <c r="E494" s="244"/>
      <c r="F494" s="244"/>
      <c r="G494" s="244"/>
      <c r="H494" s="244"/>
      <c r="I494" s="244"/>
      <c r="J494" s="244"/>
      <c r="K494" s="244"/>
      <c r="L494" s="244"/>
      <c r="M494" s="244"/>
      <c r="N494" s="244"/>
      <c r="O494" s="244"/>
      <c r="P494" s="244"/>
    </row>
    <row r="495" spans="5:16">
      <c r="E495" s="244"/>
      <c r="F495" s="244"/>
      <c r="G495" s="244"/>
      <c r="H495" s="244"/>
      <c r="I495" s="244"/>
      <c r="J495" s="244"/>
      <c r="K495" s="244"/>
      <c r="L495" s="244"/>
      <c r="M495" s="244"/>
      <c r="N495" s="244"/>
      <c r="O495" s="244"/>
      <c r="P495" s="244"/>
    </row>
    <row r="496" spans="5:16">
      <c r="E496" s="244"/>
      <c r="F496" s="244"/>
      <c r="G496" s="244"/>
      <c r="H496" s="244"/>
      <c r="I496" s="244"/>
      <c r="J496" s="244"/>
      <c r="K496" s="244"/>
      <c r="L496" s="244"/>
      <c r="M496" s="244"/>
      <c r="N496" s="244"/>
      <c r="O496" s="244"/>
      <c r="P496" s="244"/>
    </row>
    <row r="497" spans="5:16">
      <c r="E497" s="244"/>
      <c r="F497" s="244"/>
      <c r="G497" s="244"/>
      <c r="H497" s="244"/>
      <c r="I497" s="244"/>
      <c r="J497" s="244"/>
      <c r="K497" s="244"/>
      <c r="L497" s="244"/>
      <c r="M497" s="244"/>
      <c r="N497" s="244"/>
      <c r="O497" s="244"/>
      <c r="P497" s="244"/>
    </row>
    <row r="498" spans="5:16">
      <c r="E498" s="244"/>
      <c r="F498" s="244"/>
      <c r="G498" s="244"/>
      <c r="H498" s="244"/>
      <c r="I498" s="244"/>
      <c r="J498" s="244"/>
      <c r="K498" s="244"/>
      <c r="L498" s="244"/>
      <c r="M498" s="244"/>
      <c r="N498" s="244"/>
      <c r="O498" s="244"/>
      <c r="P498" s="244"/>
    </row>
    <row r="499" spans="5:16">
      <c r="E499" s="244"/>
      <c r="F499" s="244"/>
      <c r="G499" s="244"/>
      <c r="H499" s="244"/>
      <c r="I499" s="244"/>
      <c r="J499" s="244"/>
      <c r="K499" s="244"/>
      <c r="L499" s="244"/>
      <c r="M499" s="244"/>
      <c r="N499" s="244"/>
      <c r="O499" s="244"/>
      <c r="P499" s="244"/>
    </row>
    <row r="500" spans="5:16">
      <c r="E500" s="244"/>
      <c r="F500" s="244"/>
      <c r="G500" s="244"/>
      <c r="H500" s="244"/>
      <c r="I500" s="244"/>
      <c r="J500" s="244"/>
      <c r="K500" s="244"/>
      <c r="L500" s="244"/>
      <c r="M500" s="244"/>
      <c r="N500" s="244"/>
      <c r="O500" s="244"/>
      <c r="P500" s="244"/>
    </row>
    <row r="501" spans="5:16">
      <c r="E501" s="244"/>
      <c r="F501" s="244"/>
      <c r="G501" s="244"/>
      <c r="H501" s="244"/>
      <c r="I501" s="244"/>
      <c r="J501" s="244"/>
      <c r="K501" s="244"/>
      <c r="L501" s="244"/>
      <c r="M501" s="244"/>
      <c r="N501" s="244"/>
      <c r="O501" s="244"/>
      <c r="P501" s="244"/>
    </row>
    <row r="502" spans="5:16">
      <c r="E502" s="244"/>
      <c r="F502" s="244"/>
      <c r="G502" s="244"/>
      <c r="H502" s="244"/>
      <c r="I502" s="244"/>
      <c r="J502" s="244"/>
      <c r="K502" s="244"/>
      <c r="L502" s="244"/>
      <c r="M502" s="244"/>
      <c r="N502" s="244"/>
      <c r="O502" s="244"/>
      <c r="P502" s="244"/>
    </row>
    <row r="503" spans="5:16">
      <c r="E503" s="244"/>
      <c r="F503" s="244"/>
      <c r="G503" s="244"/>
      <c r="H503" s="244"/>
      <c r="I503" s="244"/>
      <c r="J503" s="244"/>
      <c r="K503" s="244"/>
      <c r="L503" s="244"/>
      <c r="M503" s="244"/>
      <c r="N503" s="244"/>
      <c r="O503" s="244"/>
      <c r="P503" s="244"/>
    </row>
    <row r="504" spans="5:16">
      <c r="E504" s="244"/>
      <c r="F504" s="244"/>
      <c r="G504" s="244"/>
      <c r="H504" s="244"/>
      <c r="I504" s="244"/>
      <c r="J504" s="244"/>
      <c r="K504" s="244"/>
      <c r="L504" s="244"/>
      <c r="M504" s="244"/>
      <c r="N504" s="244"/>
      <c r="O504" s="244"/>
      <c r="P504" s="244"/>
    </row>
    <row r="505" spans="5:16">
      <c r="E505" s="244"/>
      <c r="F505" s="244"/>
      <c r="G505" s="244"/>
      <c r="H505" s="244"/>
      <c r="I505" s="244"/>
      <c r="J505" s="244"/>
      <c r="K505" s="244"/>
      <c r="L505" s="244"/>
      <c r="M505" s="244"/>
      <c r="N505" s="244"/>
      <c r="O505" s="244"/>
      <c r="P505" s="244"/>
    </row>
    <row r="506" spans="5:16">
      <c r="E506" s="244"/>
      <c r="F506" s="244"/>
      <c r="G506" s="244"/>
      <c r="H506" s="244"/>
      <c r="I506" s="244"/>
      <c r="J506" s="244"/>
      <c r="K506" s="244"/>
      <c r="L506" s="244"/>
      <c r="M506" s="244"/>
      <c r="N506" s="244"/>
      <c r="O506" s="244"/>
      <c r="P506" s="244"/>
    </row>
    <row r="507" spans="5:16">
      <c r="E507" s="244"/>
      <c r="F507" s="244"/>
      <c r="G507" s="244"/>
      <c r="H507" s="244"/>
      <c r="I507" s="244"/>
      <c r="J507" s="244"/>
      <c r="K507" s="244"/>
      <c r="L507" s="244"/>
      <c r="M507" s="244"/>
      <c r="N507" s="244"/>
      <c r="O507" s="244"/>
      <c r="P507" s="244"/>
    </row>
    <row r="508" spans="5:16">
      <c r="E508" s="244"/>
      <c r="F508" s="244"/>
      <c r="G508" s="244"/>
      <c r="H508" s="244"/>
      <c r="I508" s="244"/>
      <c r="J508" s="244"/>
      <c r="K508" s="244"/>
      <c r="L508" s="244"/>
      <c r="M508" s="244"/>
      <c r="N508" s="244"/>
      <c r="O508" s="244"/>
      <c r="P508" s="244"/>
    </row>
    <row r="509" spans="5:16">
      <c r="E509" s="244"/>
      <c r="F509" s="244"/>
      <c r="G509" s="244"/>
      <c r="H509" s="244"/>
      <c r="I509" s="244"/>
      <c r="J509" s="244"/>
      <c r="K509" s="244"/>
      <c r="L509" s="244"/>
      <c r="M509" s="244"/>
      <c r="N509" s="244"/>
      <c r="O509" s="244"/>
      <c r="P509" s="244"/>
    </row>
    <row r="510" spans="5:16">
      <c r="E510" s="244"/>
      <c r="F510" s="244"/>
      <c r="G510" s="244"/>
      <c r="H510" s="244"/>
      <c r="I510" s="244"/>
      <c r="J510" s="244"/>
      <c r="K510" s="244"/>
      <c r="L510" s="244"/>
      <c r="M510" s="244"/>
      <c r="N510" s="244"/>
      <c r="O510" s="244"/>
      <c r="P510" s="244"/>
    </row>
    <row r="511" spans="5:16">
      <c r="E511" s="244"/>
      <c r="F511" s="244"/>
      <c r="G511" s="244"/>
      <c r="H511" s="244"/>
      <c r="I511" s="244"/>
      <c r="J511" s="244"/>
      <c r="K511" s="244"/>
      <c r="L511" s="244"/>
      <c r="M511" s="244"/>
      <c r="N511" s="244"/>
      <c r="O511" s="244"/>
      <c r="P511" s="244"/>
    </row>
    <row r="512" spans="5:16">
      <c r="E512" s="244"/>
      <c r="F512" s="244"/>
      <c r="G512" s="244"/>
      <c r="H512" s="244"/>
      <c r="I512" s="244"/>
      <c r="J512" s="244"/>
      <c r="K512" s="244"/>
      <c r="L512" s="244"/>
      <c r="M512" s="244"/>
      <c r="N512" s="244"/>
      <c r="O512" s="244"/>
      <c r="P512" s="244"/>
    </row>
    <row r="513" spans="5:16">
      <c r="E513" s="244"/>
      <c r="F513" s="244"/>
      <c r="G513" s="244"/>
      <c r="H513" s="244"/>
      <c r="I513" s="244"/>
      <c r="J513" s="244"/>
      <c r="K513" s="244"/>
      <c r="L513" s="244"/>
      <c r="M513" s="244"/>
      <c r="N513" s="244"/>
      <c r="O513" s="244"/>
      <c r="P513" s="244"/>
    </row>
    <row r="514" spans="5:16">
      <c r="E514" s="244"/>
      <c r="F514" s="244"/>
      <c r="G514" s="244"/>
      <c r="H514" s="244"/>
      <c r="I514" s="244"/>
      <c r="J514" s="244"/>
      <c r="K514" s="244"/>
      <c r="L514" s="244"/>
      <c r="M514" s="244"/>
      <c r="N514" s="244"/>
      <c r="O514" s="244"/>
      <c r="P514" s="244"/>
    </row>
    <row r="515" spans="5:16">
      <c r="E515" s="244"/>
      <c r="F515" s="244"/>
      <c r="G515" s="244"/>
      <c r="H515" s="244"/>
      <c r="I515" s="244"/>
      <c r="J515" s="244"/>
      <c r="K515" s="244"/>
      <c r="L515" s="244"/>
      <c r="M515" s="244"/>
      <c r="N515" s="244"/>
      <c r="O515" s="244"/>
      <c r="P515" s="244"/>
    </row>
    <row r="516" spans="5:16">
      <c r="E516" s="244"/>
      <c r="F516" s="244"/>
      <c r="G516" s="244"/>
      <c r="H516" s="244"/>
      <c r="I516" s="244"/>
      <c r="J516" s="244"/>
      <c r="K516" s="244"/>
      <c r="L516" s="244"/>
      <c r="M516" s="244"/>
      <c r="N516" s="244"/>
      <c r="O516" s="244"/>
      <c r="P516" s="244"/>
    </row>
    <row r="517" spans="5:16">
      <c r="E517" s="244"/>
      <c r="F517" s="244"/>
      <c r="G517" s="244"/>
      <c r="H517" s="244"/>
      <c r="I517" s="244"/>
      <c r="J517" s="244"/>
      <c r="K517" s="244"/>
      <c r="L517" s="244"/>
      <c r="M517" s="244"/>
      <c r="N517" s="244"/>
      <c r="O517" s="244"/>
      <c r="P517" s="244"/>
    </row>
    <row r="518" spans="5:16">
      <c r="E518" s="244"/>
      <c r="F518" s="244"/>
      <c r="G518" s="244"/>
      <c r="H518" s="244"/>
      <c r="I518" s="244"/>
      <c r="J518" s="244"/>
      <c r="K518" s="244"/>
      <c r="L518" s="244"/>
      <c r="M518" s="244"/>
      <c r="N518" s="244"/>
      <c r="O518" s="244"/>
      <c r="P518" s="244"/>
    </row>
    <row r="519" spans="5:16">
      <c r="E519" s="244"/>
      <c r="F519" s="244"/>
      <c r="G519" s="244"/>
      <c r="H519" s="244"/>
      <c r="I519" s="244"/>
      <c r="J519" s="244"/>
      <c r="K519" s="244"/>
      <c r="L519" s="244"/>
      <c r="M519" s="244"/>
      <c r="N519" s="244"/>
      <c r="O519" s="244"/>
      <c r="P519" s="244"/>
    </row>
    <row r="520" spans="5:16">
      <c r="E520" s="244"/>
      <c r="F520" s="244"/>
      <c r="G520" s="244"/>
      <c r="H520" s="244"/>
      <c r="I520" s="244"/>
      <c r="J520" s="244"/>
      <c r="K520" s="244"/>
      <c r="L520" s="244"/>
      <c r="M520" s="244"/>
      <c r="N520" s="244"/>
      <c r="O520" s="244"/>
      <c r="P520" s="244"/>
    </row>
    <row r="521" spans="5:16">
      <c r="E521" s="244"/>
      <c r="F521" s="244"/>
      <c r="G521" s="244"/>
      <c r="H521" s="244"/>
      <c r="I521" s="244"/>
      <c r="J521" s="244"/>
      <c r="K521" s="244"/>
      <c r="L521" s="244"/>
      <c r="M521" s="244"/>
      <c r="N521" s="244"/>
      <c r="O521" s="244"/>
      <c r="P521" s="244"/>
    </row>
    <row r="522" spans="5:16">
      <c r="E522" s="244"/>
      <c r="F522" s="244"/>
      <c r="G522" s="244"/>
      <c r="H522" s="244"/>
      <c r="I522" s="244"/>
      <c r="J522" s="244"/>
      <c r="K522" s="244"/>
      <c r="L522" s="244"/>
      <c r="M522" s="244"/>
      <c r="N522" s="244"/>
      <c r="O522" s="244"/>
      <c r="P522" s="244"/>
    </row>
    <row r="523" spans="5:16">
      <c r="E523" s="244"/>
      <c r="F523" s="244"/>
      <c r="G523" s="244"/>
      <c r="H523" s="244"/>
      <c r="I523" s="244"/>
      <c r="J523" s="244"/>
      <c r="K523" s="244"/>
      <c r="L523" s="244"/>
      <c r="M523" s="244"/>
      <c r="N523" s="244"/>
      <c r="O523" s="244"/>
      <c r="P523" s="244"/>
    </row>
    <row r="524" spans="5:16">
      <c r="E524" s="244"/>
      <c r="F524" s="244"/>
      <c r="G524" s="244"/>
      <c r="H524" s="244"/>
      <c r="I524" s="244"/>
      <c r="J524" s="244"/>
      <c r="K524" s="244"/>
      <c r="L524" s="244"/>
      <c r="M524" s="244"/>
      <c r="N524" s="244"/>
      <c r="O524" s="244"/>
      <c r="P524" s="244"/>
    </row>
    <row r="525" spans="5:16">
      <c r="E525" s="244"/>
      <c r="F525" s="244"/>
      <c r="G525" s="244"/>
      <c r="H525" s="244"/>
      <c r="I525" s="244"/>
      <c r="J525" s="244"/>
      <c r="K525" s="244"/>
      <c r="L525" s="244"/>
      <c r="M525" s="244"/>
      <c r="N525" s="244"/>
      <c r="O525" s="244"/>
      <c r="P525" s="244"/>
    </row>
    <row r="526" spans="5:16">
      <c r="E526" s="244"/>
      <c r="F526" s="244"/>
      <c r="G526" s="244"/>
      <c r="H526" s="244"/>
      <c r="I526" s="244"/>
      <c r="J526" s="244"/>
      <c r="K526" s="244"/>
      <c r="L526" s="244"/>
      <c r="M526" s="244"/>
      <c r="N526" s="244"/>
      <c r="O526" s="244"/>
      <c r="P526" s="244"/>
    </row>
    <row r="527" spans="5:16">
      <c r="E527" s="244"/>
      <c r="F527" s="244"/>
      <c r="G527" s="244"/>
      <c r="H527" s="244"/>
      <c r="I527" s="244"/>
      <c r="J527" s="244"/>
      <c r="K527" s="244"/>
      <c r="L527" s="244"/>
      <c r="M527" s="244"/>
      <c r="N527" s="244"/>
      <c r="O527" s="244"/>
      <c r="P527" s="244"/>
    </row>
    <row r="528" spans="5:16">
      <c r="E528" s="244"/>
      <c r="F528" s="244"/>
      <c r="G528" s="244"/>
      <c r="H528" s="244"/>
      <c r="I528" s="244"/>
      <c r="J528" s="244"/>
      <c r="K528" s="244"/>
      <c r="L528" s="244"/>
      <c r="M528" s="244"/>
      <c r="N528" s="244"/>
      <c r="O528" s="244"/>
      <c r="P528" s="244"/>
    </row>
    <row r="529" spans="5:16">
      <c r="E529" s="244"/>
      <c r="F529" s="244"/>
      <c r="G529" s="244"/>
      <c r="H529" s="244"/>
      <c r="I529" s="244"/>
      <c r="J529" s="244"/>
      <c r="K529" s="244"/>
      <c r="L529" s="244"/>
      <c r="M529" s="244"/>
      <c r="N529" s="244"/>
      <c r="O529" s="244"/>
      <c r="P529" s="244"/>
    </row>
    <row r="530" spans="5:16">
      <c r="E530" s="244"/>
      <c r="F530" s="244"/>
      <c r="G530" s="244"/>
      <c r="H530" s="244"/>
      <c r="I530" s="244"/>
      <c r="J530" s="244"/>
      <c r="K530" s="244"/>
      <c r="L530" s="244"/>
      <c r="M530" s="244"/>
      <c r="N530" s="244"/>
      <c r="O530" s="244"/>
      <c r="P530" s="244"/>
    </row>
    <row r="531" spans="5:16">
      <c r="E531" s="244"/>
      <c r="F531" s="244"/>
      <c r="G531" s="244"/>
      <c r="H531" s="244"/>
      <c r="I531" s="244"/>
      <c r="J531" s="244"/>
      <c r="K531" s="244"/>
      <c r="L531" s="244"/>
      <c r="M531" s="244"/>
      <c r="N531" s="244"/>
      <c r="O531" s="244"/>
      <c r="P531" s="244"/>
    </row>
    <row r="532" spans="5:16">
      <c r="E532" s="244"/>
      <c r="F532" s="244"/>
      <c r="G532" s="244"/>
      <c r="H532" s="244"/>
      <c r="I532" s="244"/>
      <c r="J532" s="244"/>
      <c r="K532" s="244"/>
      <c r="L532" s="244"/>
      <c r="M532" s="244"/>
      <c r="N532" s="244"/>
      <c r="O532" s="244"/>
      <c r="P532" s="244"/>
    </row>
    <row r="533" spans="5:16">
      <c r="E533" s="244"/>
      <c r="F533" s="244"/>
      <c r="G533" s="244"/>
      <c r="H533" s="244"/>
      <c r="I533" s="244"/>
      <c r="J533" s="244"/>
      <c r="K533" s="244"/>
      <c r="L533" s="244"/>
      <c r="M533" s="244"/>
      <c r="N533" s="244"/>
      <c r="O533" s="244"/>
      <c r="P533" s="244"/>
    </row>
    <row r="534" spans="5:16">
      <c r="E534" s="244"/>
      <c r="F534" s="244"/>
      <c r="G534" s="244"/>
      <c r="H534" s="244"/>
      <c r="I534" s="244"/>
      <c r="J534" s="244"/>
      <c r="K534" s="244"/>
      <c r="L534" s="244"/>
      <c r="M534" s="244"/>
      <c r="N534" s="244"/>
      <c r="O534" s="244"/>
      <c r="P534" s="244"/>
    </row>
    <row r="535" spans="5:16">
      <c r="E535" s="244"/>
      <c r="F535" s="244"/>
      <c r="G535" s="244"/>
      <c r="H535" s="244"/>
      <c r="I535" s="244"/>
      <c r="J535" s="244"/>
      <c r="K535" s="244"/>
      <c r="L535" s="244"/>
      <c r="M535" s="244"/>
      <c r="N535" s="244"/>
      <c r="O535" s="244"/>
      <c r="P535" s="244"/>
    </row>
    <row r="536" spans="5:16">
      <c r="E536" s="244"/>
      <c r="F536" s="244"/>
      <c r="G536" s="244"/>
      <c r="H536" s="244"/>
      <c r="I536" s="244"/>
      <c r="J536" s="244"/>
      <c r="K536" s="244"/>
      <c r="L536" s="244"/>
      <c r="M536" s="244"/>
      <c r="N536" s="244"/>
      <c r="O536" s="244"/>
      <c r="P536" s="244"/>
    </row>
    <row r="537" spans="5:16">
      <c r="E537" s="244"/>
      <c r="F537" s="244"/>
      <c r="G537" s="244"/>
      <c r="H537" s="244"/>
      <c r="I537" s="244"/>
      <c r="J537" s="244"/>
      <c r="K537" s="244"/>
      <c r="L537" s="244"/>
      <c r="M537" s="244"/>
      <c r="N537" s="244"/>
      <c r="O537" s="244"/>
      <c r="P537" s="244"/>
    </row>
    <row r="538" spans="5:16">
      <c r="E538" s="244"/>
      <c r="F538" s="244"/>
      <c r="G538" s="244"/>
      <c r="H538" s="244"/>
      <c r="I538" s="244"/>
      <c r="J538" s="244"/>
      <c r="K538" s="244"/>
      <c r="L538" s="244"/>
      <c r="M538" s="244"/>
      <c r="N538" s="244"/>
      <c r="O538" s="244"/>
      <c r="P538" s="244"/>
    </row>
    <row r="539" spans="5:16">
      <c r="E539" s="244"/>
      <c r="F539" s="244"/>
      <c r="G539" s="244"/>
      <c r="H539" s="244"/>
      <c r="I539" s="244"/>
      <c r="J539" s="244"/>
      <c r="K539" s="244"/>
      <c r="L539" s="244"/>
      <c r="M539" s="244"/>
      <c r="N539" s="244"/>
      <c r="O539" s="244"/>
      <c r="P539" s="244"/>
    </row>
    <row r="540" spans="5:16">
      <c r="E540" s="244"/>
      <c r="F540" s="244"/>
      <c r="G540" s="244"/>
      <c r="H540" s="244"/>
      <c r="I540" s="244"/>
      <c r="J540" s="244"/>
      <c r="K540" s="244"/>
      <c r="L540" s="244"/>
      <c r="M540" s="244"/>
      <c r="N540" s="244"/>
      <c r="O540" s="244"/>
      <c r="P540" s="244"/>
    </row>
    <row r="541" spans="5:16">
      <c r="E541" s="244"/>
      <c r="F541" s="244"/>
      <c r="G541" s="244"/>
      <c r="H541" s="244"/>
      <c r="I541" s="244"/>
      <c r="J541" s="244"/>
      <c r="K541" s="244"/>
      <c r="L541" s="244"/>
      <c r="M541" s="244"/>
      <c r="N541" s="244"/>
      <c r="O541" s="244"/>
      <c r="P541" s="244"/>
    </row>
    <row r="542" spans="5:16">
      <c r="E542" s="244"/>
      <c r="F542" s="244"/>
      <c r="G542" s="244"/>
      <c r="H542" s="244"/>
      <c r="I542" s="244"/>
      <c r="J542" s="244"/>
      <c r="K542" s="244"/>
      <c r="L542" s="244"/>
      <c r="M542" s="244"/>
      <c r="N542" s="244"/>
      <c r="O542" s="244"/>
      <c r="P542" s="244"/>
    </row>
    <row r="543" spans="5:16">
      <c r="E543" s="244"/>
      <c r="F543" s="244"/>
      <c r="G543" s="244"/>
      <c r="H543" s="244"/>
      <c r="I543" s="244"/>
      <c r="J543" s="244"/>
      <c r="K543" s="244"/>
      <c r="L543" s="244"/>
      <c r="M543" s="244"/>
      <c r="N543" s="244"/>
      <c r="O543" s="244"/>
      <c r="P543" s="244"/>
    </row>
    <row r="544" spans="5:16">
      <c r="E544" s="244"/>
      <c r="F544" s="244"/>
      <c r="G544" s="244"/>
      <c r="H544" s="244"/>
      <c r="I544" s="244"/>
      <c r="J544" s="244"/>
      <c r="K544" s="244"/>
      <c r="L544" s="244"/>
      <c r="M544" s="244"/>
      <c r="N544" s="244"/>
      <c r="O544" s="244"/>
      <c r="P544" s="244"/>
    </row>
    <row r="545" spans="5:16">
      <c r="E545" s="244"/>
      <c r="F545" s="244"/>
      <c r="G545" s="244"/>
      <c r="H545" s="244"/>
      <c r="I545" s="244"/>
      <c r="J545" s="244"/>
      <c r="K545" s="244"/>
      <c r="L545" s="244"/>
      <c r="M545" s="244"/>
      <c r="N545" s="244"/>
      <c r="O545" s="244"/>
      <c r="P545" s="244"/>
    </row>
    <row r="546" spans="5:16">
      <c r="E546" s="244"/>
      <c r="F546" s="244"/>
      <c r="G546" s="244"/>
      <c r="H546" s="244"/>
      <c r="I546" s="244"/>
      <c r="J546" s="244"/>
      <c r="K546" s="244"/>
      <c r="L546" s="244"/>
      <c r="M546" s="244"/>
      <c r="N546" s="244"/>
      <c r="O546" s="244"/>
      <c r="P546" s="244"/>
    </row>
    <row r="547" spans="5:16">
      <c r="E547" s="244"/>
      <c r="F547" s="244"/>
      <c r="G547" s="244"/>
      <c r="H547" s="244"/>
      <c r="I547" s="244"/>
      <c r="J547" s="244"/>
      <c r="K547" s="244"/>
      <c r="L547" s="244"/>
      <c r="M547" s="244"/>
      <c r="N547" s="244"/>
      <c r="O547" s="244"/>
      <c r="P547" s="244"/>
    </row>
    <row r="548" spans="5:16">
      <c r="E548" s="244"/>
      <c r="F548" s="244"/>
      <c r="G548" s="244"/>
      <c r="H548" s="244"/>
      <c r="I548" s="244"/>
      <c r="J548" s="244"/>
      <c r="K548" s="244"/>
      <c r="L548" s="244"/>
      <c r="M548" s="244"/>
      <c r="N548" s="244"/>
      <c r="O548" s="244"/>
      <c r="P548" s="244"/>
    </row>
    <row r="549" spans="5:16">
      <c r="E549" s="244"/>
      <c r="F549" s="244"/>
      <c r="G549" s="244"/>
      <c r="H549" s="244"/>
      <c r="I549" s="244"/>
      <c r="J549" s="244"/>
      <c r="K549" s="244"/>
      <c r="L549" s="244"/>
      <c r="M549" s="244"/>
      <c r="N549" s="244"/>
      <c r="O549" s="244"/>
      <c r="P549" s="244"/>
    </row>
    <row r="550" spans="5:16">
      <c r="E550" s="244"/>
      <c r="F550" s="244"/>
      <c r="G550" s="244"/>
      <c r="H550" s="244"/>
      <c r="I550" s="244"/>
      <c r="J550" s="244"/>
      <c r="K550" s="244"/>
      <c r="L550" s="244"/>
      <c r="M550" s="244"/>
      <c r="N550" s="244"/>
      <c r="O550" s="244"/>
      <c r="P550" s="244"/>
    </row>
    <row r="551" spans="5:16">
      <c r="E551" s="244"/>
      <c r="F551" s="244"/>
      <c r="G551" s="244"/>
      <c r="H551" s="244"/>
      <c r="I551" s="244"/>
      <c r="J551" s="244"/>
      <c r="K551" s="244"/>
      <c r="L551" s="244"/>
      <c r="M551" s="244"/>
      <c r="N551" s="244"/>
      <c r="O551" s="244"/>
      <c r="P551" s="244"/>
    </row>
    <row r="552" spans="5:16">
      <c r="E552" s="244"/>
      <c r="F552" s="244"/>
      <c r="G552" s="244"/>
      <c r="H552" s="244"/>
      <c r="I552" s="244"/>
      <c r="J552" s="244"/>
      <c r="K552" s="244"/>
      <c r="L552" s="244"/>
      <c r="M552" s="244"/>
      <c r="N552" s="244"/>
      <c r="O552" s="244"/>
      <c r="P552" s="244"/>
    </row>
    <row r="553" spans="5:16">
      <c r="E553" s="244"/>
      <c r="F553" s="244"/>
      <c r="G553" s="244"/>
      <c r="H553" s="244"/>
      <c r="I553" s="244"/>
      <c r="J553" s="244"/>
      <c r="K553" s="244"/>
      <c r="L553" s="244"/>
      <c r="M553" s="244"/>
      <c r="N553" s="244"/>
      <c r="O553" s="244"/>
      <c r="P553" s="244"/>
    </row>
    <row r="554" spans="5:16">
      <c r="E554" s="244"/>
      <c r="F554" s="244"/>
      <c r="G554" s="244"/>
      <c r="H554" s="244"/>
      <c r="I554" s="244"/>
      <c r="J554" s="244"/>
      <c r="K554" s="244"/>
      <c r="L554" s="244"/>
      <c r="M554" s="244"/>
      <c r="N554" s="244"/>
      <c r="O554" s="244"/>
      <c r="P554" s="244"/>
    </row>
    <row r="555" spans="5:16">
      <c r="E555" s="244"/>
      <c r="F555" s="244"/>
      <c r="G555" s="244"/>
      <c r="H555" s="244"/>
      <c r="I555" s="244"/>
      <c r="J555" s="244"/>
      <c r="K555" s="244"/>
      <c r="L555" s="244"/>
      <c r="M555" s="244"/>
      <c r="N555" s="244"/>
      <c r="O555" s="244"/>
      <c r="P555" s="244"/>
    </row>
    <row r="556" spans="5:16">
      <c r="E556" s="244"/>
      <c r="F556" s="244"/>
      <c r="G556" s="244"/>
      <c r="H556" s="244"/>
      <c r="I556" s="244"/>
      <c r="J556" s="244"/>
      <c r="K556" s="244"/>
      <c r="L556" s="244"/>
      <c r="M556" s="244"/>
      <c r="N556" s="244"/>
      <c r="O556" s="244"/>
      <c r="P556" s="244"/>
    </row>
    <row r="557" spans="5:16">
      <c r="E557" s="244"/>
      <c r="F557" s="244"/>
      <c r="G557" s="244"/>
      <c r="H557" s="244"/>
      <c r="I557" s="244"/>
      <c r="J557" s="244"/>
      <c r="K557" s="244"/>
      <c r="L557" s="244"/>
      <c r="M557" s="244"/>
      <c r="N557" s="244"/>
      <c r="O557" s="244"/>
      <c r="P557" s="244"/>
    </row>
    <row r="558" spans="5:16">
      <c r="E558" s="244"/>
      <c r="F558" s="244"/>
      <c r="G558" s="244"/>
      <c r="H558" s="244"/>
      <c r="I558" s="244"/>
      <c r="J558" s="244"/>
      <c r="K558" s="244"/>
      <c r="L558" s="244"/>
      <c r="M558" s="244"/>
      <c r="N558" s="244"/>
      <c r="O558" s="244"/>
      <c r="P558" s="244"/>
    </row>
    <row r="559" spans="5:16">
      <c r="E559" s="244"/>
      <c r="F559" s="244"/>
      <c r="G559" s="244"/>
      <c r="H559" s="244"/>
      <c r="I559" s="244"/>
      <c r="J559" s="244"/>
      <c r="K559" s="244"/>
      <c r="L559" s="244"/>
      <c r="M559" s="244"/>
      <c r="N559" s="244"/>
      <c r="O559" s="244"/>
      <c r="P559" s="244"/>
    </row>
    <row r="560" spans="5:16">
      <c r="E560" s="244"/>
      <c r="F560" s="244"/>
      <c r="G560" s="244"/>
      <c r="H560" s="244"/>
      <c r="I560" s="244"/>
      <c r="J560" s="244"/>
      <c r="K560" s="244"/>
      <c r="L560" s="244"/>
      <c r="M560" s="244"/>
      <c r="N560" s="244"/>
      <c r="O560" s="244"/>
      <c r="P560" s="244"/>
    </row>
    <row r="561" spans="5:16">
      <c r="E561" s="244"/>
      <c r="F561" s="244"/>
      <c r="G561" s="244"/>
      <c r="H561" s="244"/>
      <c r="I561" s="244"/>
      <c r="J561" s="244"/>
      <c r="K561" s="244"/>
      <c r="L561" s="244"/>
      <c r="M561" s="244"/>
      <c r="N561" s="244"/>
      <c r="O561" s="244"/>
      <c r="P561" s="244"/>
    </row>
    <row r="562" spans="5:16">
      <c r="E562" s="244"/>
      <c r="F562" s="244"/>
      <c r="G562" s="244"/>
      <c r="H562" s="244"/>
      <c r="I562" s="244"/>
      <c r="J562" s="244"/>
      <c r="K562" s="244"/>
      <c r="L562" s="244"/>
      <c r="M562" s="244"/>
      <c r="N562" s="244"/>
      <c r="O562" s="244"/>
      <c r="P562" s="244"/>
    </row>
    <row r="563" spans="5:16">
      <c r="E563" s="244"/>
      <c r="F563" s="244"/>
      <c r="G563" s="244"/>
      <c r="H563" s="244"/>
      <c r="I563" s="244"/>
      <c r="J563" s="244"/>
      <c r="K563" s="244"/>
      <c r="L563" s="244"/>
      <c r="M563" s="244"/>
      <c r="N563" s="244"/>
      <c r="O563" s="244"/>
      <c r="P563" s="244"/>
    </row>
    <row r="564" spans="5:16">
      <c r="E564" s="244"/>
      <c r="F564" s="244"/>
      <c r="G564" s="244"/>
      <c r="H564" s="244"/>
      <c r="I564" s="244"/>
      <c r="J564" s="244"/>
      <c r="K564" s="244"/>
      <c r="L564" s="244"/>
      <c r="M564" s="244"/>
      <c r="N564" s="244"/>
      <c r="O564" s="244"/>
      <c r="P564" s="244"/>
    </row>
    <row r="565" spans="5:16">
      <c r="E565" s="244"/>
      <c r="F565" s="244"/>
      <c r="G565" s="244"/>
      <c r="H565" s="244"/>
      <c r="I565" s="244"/>
      <c r="J565" s="244"/>
      <c r="K565" s="244"/>
      <c r="L565" s="244"/>
      <c r="M565" s="244"/>
      <c r="N565" s="244"/>
      <c r="O565" s="244"/>
      <c r="P565" s="244"/>
    </row>
    <row r="566" spans="5:16">
      <c r="E566" s="244"/>
      <c r="F566" s="244"/>
      <c r="G566" s="244"/>
      <c r="H566" s="244"/>
      <c r="I566" s="244"/>
      <c r="J566" s="244"/>
      <c r="K566" s="244"/>
      <c r="L566" s="244"/>
      <c r="M566" s="244"/>
      <c r="N566" s="244"/>
      <c r="O566" s="244"/>
      <c r="P566" s="244"/>
    </row>
    <row r="567" spans="5:16">
      <c r="E567" s="244"/>
      <c r="F567" s="244"/>
      <c r="G567" s="244"/>
      <c r="H567" s="244"/>
      <c r="I567" s="244"/>
      <c r="J567" s="244"/>
      <c r="K567" s="244"/>
      <c r="L567" s="244"/>
      <c r="M567" s="244"/>
      <c r="N567" s="244"/>
      <c r="O567" s="244"/>
      <c r="P567" s="244"/>
    </row>
    <row r="568" spans="5:16">
      <c r="E568" s="244"/>
      <c r="F568" s="244"/>
      <c r="G568" s="244"/>
      <c r="H568" s="244"/>
      <c r="I568" s="244"/>
      <c r="J568" s="244"/>
      <c r="K568" s="244"/>
      <c r="L568" s="244"/>
      <c r="M568" s="244"/>
      <c r="N568" s="244"/>
      <c r="O568" s="244"/>
      <c r="P568" s="244"/>
    </row>
    <row r="569" spans="5:16">
      <c r="E569" s="244"/>
      <c r="F569" s="244"/>
      <c r="G569" s="244"/>
      <c r="H569" s="244"/>
      <c r="I569" s="244"/>
      <c r="J569" s="244"/>
      <c r="K569" s="244"/>
      <c r="L569" s="244"/>
      <c r="M569" s="244"/>
      <c r="N569" s="244"/>
      <c r="O569" s="244"/>
      <c r="P569" s="244"/>
    </row>
    <row r="570" spans="5:16">
      <c r="E570" s="244"/>
      <c r="F570" s="244"/>
      <c r="G570" s="244"/>
      <c r="H570" s="244"/>
      <c r="I570" s="244"/>
      <c r="J570" s="244"/>
      <c r="K570" s="244"/>
      <c r="L570" s="244"/>
      <c r="M570" s="244"/>
      <c r="N570" s="244"/>
      <c r="O570" s="244"/>
      <c r="P570" s="244"/>
    </row>
    <row r="571" spans="5:16">
      <c r="E571" s="244"/>
      <c r="F571" s="244"/>
      <c r="G571" s="244"/>
      <c r="H571" s="244"/>
      <c r="I571" s="244"/>
      <c r="J571" s="244"/>
      <c r="K571" s="244"/>
      <c r="L571" s="244"/>
      <c r="M571" s="244"/>
      <c r="N571" s="244"/>
      <c r="O571" s="244"/>
      <c r="P571" s="244"/>
    </row>
    <row r="572" spans="5:16">
      <c r="E572" s="244"/>
      <c r="F572" s="244"/>
      <c r="G572" s="244"/>
      <c r="H572" s="244"/>
      <c r="I572" s="244"/>
      <c r="J572" s="244"/>
      <c r="K572" s="244"/>
      <c r="L572" s="244"/>
      <c r="M572" s="244"/>
      <c r="N572" s="244"/>
      <c r="O572" s="244"/>
      <c r="P572" s="244"/>
    </row>
    <row r="573" spans="5:16">
      <c r="E573" s="244"/>
      <c r="F573" s="244"/>
      <c r="G573" s="244"/>
      <c r="H573" s="244"/>
      <c r="I573" s="244"/>
      <c r="J573" s="244"/>
      <c r="K573" s="244"/>
      <c r="L573" s="244"/>
      <c r="M573" s="244"/>
      <c r="N573" s="244"/>
      <c r="O573" s="244"/>
      <c r="P573" s="244"/>
    </row>
    <row r="574" spans="5:16">
      <c r="E574" s="244"/>
      <c r="F574" s="244"/>
      <c r="G574" s="244"/>
      <c r="H574" s="244"/>
      <c r="I574" s="244"/>
      <c r="J574" s="244"/>
      <c r="K574" s="244"/>
      <c r="L574" s="244"/>
      <c r="M574" s="244"/>
      <c r="N574" s="244"/>
      <c r="O574" s="244"/>
      <c r="P574" s="244"/>
    </row>
    <row r="575" spans="5:16">
      <c r="E575" s="244"/>
      <c r="F575" s="244"/>
      <c r="G575" s="244"/>
      <c r="H575" s="244"/>
      <c r="I575" s="244"/>
      <c r="J575" s="244"/>
      <c r="K575" s="244"/>
      <c r="L575" s="244"/>
      <c r="M575" s="244"/>
      <c r="N575" s="244"/>
      <c r="O575" s="244"/>
      <c r="P575" s="244"/>
    </row>
    <row r="576" spans="5:16">
      <c r="E576" s="244"/>
      <c r="F576" s="244"/>
      <c r="G576" s="244"/>
      <c r="H576" s="244"/>
      <c r="I576" s="244"/>
      <c r="J576" s="244"/>
      <c r="K576" s="244"/>
      <c r="L576" s="244"/>
      <c r="M576" s="244"/>
      <c r="N576" s="244"/>
      <c r="O576" s="244"/>
      <c r="P576" s="244"/>
    </row>
    <row r="577" spans="5:16">
      <c r="E577" s="244"/>
      <c r="F577" s="244"/>
      <c r="G577" s="244"/>
      <c r="H577" s="244"/>
      <c r="I577" s="244"/>
      <c r="J577" s="244"/>
      <c r="K577" s="244"/>
      <c r="L577" s="244"/>
      <c r="M577" s="244"/>
      <c r="N577" s="244"/>
      <c r="O577" s="244"/>
      <c r="P577" s="244"/>
    </row>
    <row r="578" spans="5:16">
      <c r="E578" s="244"/>
      <c r="F578" s="244"/>
      <c r="G578" s="244"/>
      <c r="H578" s="244"/>
      <c r="I578" s="244"/>
      <c r="J578" s="244"/>
      <c r="K578" s="244"/>
      <c r="L578" s="244"/>
      <c r="M578" s="244"/>
      <c r="N578" s="244"/>
      <c r="O578" s="244"/>
      <c r="P578" s="244"/>
    </row>
    <row r="579" spans="5:16">
      <c r="E579" s="244"/>
      <c r="F579" s="244"/>
      <c r="G579" s="244"/>
      <c r="H579" s="244"/>
      <c r="I579" s="244"/>
      <c r="J579" s="244"/>
      <c r="K579" s="244"/>
      <c r="L579" s="244"/>
      <c r="M579" s="244"/>
      <c r="N579" s="244"/>
      <c r="O579" s="244"/>
      <c r="P579" s="244"/>
    </row>
    <row r="580" spans="5:16">
      <c r="E580" s="244"/>
      <c r="F580" s="244"/>
      <c r="G580" s="244"/>
      <c r="H580" s="244"/>
      <c r="I580" s="244"/>
      <c r="J580" s="244"/>
      <c r="K580" s="244"/>
      <c r="L580" s="244"/>
      <c r="M580" s="244"/>
      <c r="N580" s="244"/>
      <c r="O580" s="244"/>
      <c r="P580" s="244"/>
    </row>
    <row r="581" spans="5:16">
      <c r="E581" s="244"/>
      <c r="F581" s="244"/>
      <c r="G581" s="244"/>
      <c r="H581" s="244"/>
      <c r="I581" s="244"/>
      <c r="J581" s="244"/>
      <c r="K581" s="244"/>
      <c r="L581" s="244"/>
      <c r="M581" s="244"/>
      <c r="N581" s="244"/>
      <c r="O581" s="244"/>
      <c r="P581" s="244"/>
    </row>
    <row r="582" spans="5:16">
      <c r="E582" s="244"/>
      <c r="F582" s="244"/>
      <c r="G582" s="244"/>
      <c r="H582" s="244"/>
      <c r="I582" s="244"/>
      <c r="J582" s="244"/>
      <c r="K582" s="244"/>
      <c r="L582" s="244"/>
      <c r="M582" s="244"/>
      <c r="N582" s="244"/>
      <c r="O582" s="244"/>
      <c r="P582" s="244"/>
    </row>
    <row r="583" spans="5:16">
      <c r="E583" s="244"/>
      <c r="F583" s="244"/>
      <c r="G583" s="244"/>
      <c r="H583" s="244"/>
      <c r="I583" s="244"/>
      <c r="J583" s="244"/>
      <c r="K583" s="244"/>
      <c r="L583" s="244"/>
      <c r="M583" s="244"/>
      <c r="N583" s="244"/>
      <c r="O583" s="244"/>
      <c r="P583" s="244"/>
    </row>
    <row r="584" spans="5:16">
      <c r="E584" s="244"/>
      <c r="F584" s="244"/>
      <c r="G584" s="244"/>
      <c r="H584" s="244"/>
      <c r="I584" s="244"/>
      <c r="J584" s="244"/>
      <c r="K584" s="244"/>
      <c r="L584" s="244"/>
      <c r="M584" s="244"/>
      <c r="N584" s="244"/>
      <c r="O584" s="244"/>
      <c r="P584" s="244"/>
    </row>
    <row r="585" spans="5:16">
      <c r="E585" s="244"/>
      <c r="F585" s="244"/>
      <c r="G585" s="244"/>
      <c r="H585" s="244"/>
      <c r="I585" s="244"/>
      <c r="J585" s="244"/>
      <c r="K585" s="244"/>
      <c r="L585" s="244"/>
      <c r="M585" s="244"/>
      <c r="N585" s="244"/>
      <c r="O585" s="244"/>
      <c r="P585" s="244"/>
    </row>
    <row r="586" spans="5:16">
      <c r="E586" s="244"/>
      <c r="F586" s="244"/>
      <c r="G586" s="244"/>
      <c r="H586" s="244"/>
      <c r="I586" s="244"/>
      <c r="J586" s="244"/>
      <c r="K586" s="244"/>
      <c r="L586" s="244"/>
      <c r="M586" s="244"/>
      <c r="N586" s="244"/>
      <c r="O586" s="244"/>
      <c r="P586" s="244"/>
    </row>
    <row r="587" spans="5:16">
      <c r="E587" s="244"/>
      <c r="F587" s="244"/>
      <c r="G587" s="244"/>
      <c r="H587" s="244"/>
      <c r="I587" s="244"/>
      <c r="J587" s="244"/>
      <c r="K587" s="244"/>
      <c r="L587" s="244"/>
      <c r="M587" s="244"/>
      <c r="N587" s="244"/>
      <c r="O587" s="244"/>
      <c r="P587" s="244"/>
    </row>
    <row r="588" spans="5:16">
      <c r="E588" s="244"/>
      <c r="F588" s="244"/>
      <c r="G588" s="244"/>
      <c r="H588" s="244"/>
      <c r="I588" s="244"/>
      <c r="J588" s="244"/>
      <c r="K588" s="244"/>
      <c r="L588" s="244"/>
      <c r="M588" s="244"/>
      <c r="N588" s="244"/>
      <c r="O588" s="244"/>
      <c r="P588" s="244"/>
    </row>
    <row r="589" spans="5:16">
      <c r="E589" s="244"/>
      <c r="F589" s="244"/>
      <c r="G589" s="244"/>
      <c r="H589" s="244"/>
      <c r="I589" s="244"/>
      <c r="J589" s="244"/>
      <c r="K589" s="244"/>
      <c r="L589" s="244"/>
      <c r="M589" s="244"/>
      <c r="N589" s="244"/>
      <c r="O589" s="244"/>
      <c r="P589" s="244"/>
    </row>
    <row r="590" spans="5:16">
      <c r="E590" s="244"/>
      <c r="F590" s="244"/>
      <c r="G590" s="244"/>
      <c r="H590" s="244"/>
      <c r="I590" s="244"/>
      <c r="J590" s="244"/>
      <c r="K590" s="244"/>
      <c r="L590" s="244"/>
      <c r="M590" s="244"/>
      <c r="N590" s="244"/>
      <c r="O590" s="244"/>
      <c r="P590" s="244"/>
    </row>
    <row r="591" spans="5:16">
      <c r="E591" s="244"/>
      <c r="F591" s="244"/>
      <c r="G591" s="244"/>
      <c r="H591" s="244"/>
      <c r="I591" s="244"/>
      <c r="J591" s="244"/>
      <c r="K591" s="244"/>
      <c r="L591" s="244"/>
      <c r="M591" s="244"/>
      <c r="N591" s="244"/>
      <c r="O591" s="244"/>
      <c r="P591" s="244"/>
    </row>
    <row r="592" spans="5:16">
      <c r="E592" s="244"/>
      <c r="F592" s="244"/>
      <c r="G592" s="244"/>
      <c r="H592" s="244"/>
      <c r="I592" s="244"/>
      <c r="J592" s="244"/>
      <c r="K592" s="244"/>
      <c r="L592" s="244"/>
      <c r="M592" s="244"/>
      <c r="N592" s="244"/>
      <c r="O592" s="244"/>
      <c r="P592" s="244"/>
    </row>
    <row r="593" spans="5:16">
      <c r="E593" s="244"/>
      <c r="F593" s="244"/>
      <c r="G593" s="244"/>
      <c r="H593" s="244"/>
      <c r="I593" s="244"/>
      <c r="J593" s="244"/>
      <c r="K593" s="244"/>
      <c r="L593" s="244"/>
      <c r="M593" s="244"/>
      <c r="N593" s="244"/>
      <c r="O593" s="244"/>
      <c r="P593" s="244"/>
    </row>
    <row r="594" spans="5:16">
      <c r="E594" s="244"/>
      <c r="F594" s="244"/>
      <c r="G594" s="244"/>
      <c r="H594" s="244"/>
      <c r="I594" s="244"/>
      <c r="J594" s="244"/>
      <c r="K594" s="244"/>
      <c r="L594" s="244"/>
      <c r="M594" s="244"/>
      <c r="N594" s="244"/>
      <c r="O594" s="244"/>
      <c r="P594" s="244"/>
    </row>
    <row r="595" spans="5:16">
      <c r="E595" s="244"/>
      <c r="F595" s="244"/>
      <c r="G595" s="244"/>
      <c r="H595" s="244"/>
      <c r="I595" s="244"/>
      <c r="J595" s="244"/>
      <c r="K595" s="244"/>
      <c r="L595" s="244"/>
      <c r="M595" s="244"/>
      <c r="N595" s="244"/>
      <c r="O595" s="244"/>
      <c r="P595" s="244"/>
    </row>
    <row r="596" spans="5:16">
      <c r="E596" s="244"/>
      <c r="F596" s="244"/>
      <c r="G596" s="244"/>
      <c r="H596" s="244"/>
      <c r="I596" s="244"/>
      <c r="J596" s="244"/>
      <c r="K596" s="244"/>
      <c r="L596" s="244"/>
      <c r="M596" s="244"/>
      <c r="N596" s="244"/>
      <c r="O596" s="244"/>
      <c r="P596" s="244"/>
    </row>
    <row r="597" spans="5:16">
      <c r="E597" s="244"/>
      <c r="F597" s="244"/>
      <c r="G597" s="244"/>
      <c r="H597" s="244"/>
      <c r="I597" s="244"/>
      <c r="J597" s="244"/>
      <c r="K597" s="244"/>
      <c r="L597" s="244"/>
      <c r="M597" s="244"/>
      <c r="N597" s="244"/>
      <c r="O597" s="244"/>
      <c r="P597" s="244"/>
    </row>
    <row r="598" spans="5:16">
      <c r="E598" s="244"/>
      <c r="F598" s="244"/>
      <c r="G598" s="244"/>
      <c r="H598" s="244"/>
      <c r="I598" s="244"/>
      <c r="J598" s="244"/>
      <c r="K598" s="244"/>
      <c r="L598" s="244"/>
      <c r="M598" s="244"/>
      <c r="N598" s="244"/>
      <c r="O598" s="244"/>
      <c r="P598" s="244"/>
    </row>
    <row r="599" spans="5:16">
      <c r="E599" s="244"/>
      <c r="F599" s="244"/>
      <c r="G599" s="244"/>
      <c r="H599" s="244"/>
      <c r="I599" s="244"/>
      <c r="J599" s="244"/>
      <c r="K599" s="244"/>
      <c r="L599" s="244"/>
      <c r="M599" s="244"/>
      <c r="N599" s="244"/>
      <c r="O599" s="244"/>
      <c r="P599" s="244"/>
    </row>
    <row r="600" spans="5:16">
      <c r="E600" s="244"/>
      <c r="F600" s="244"/>
      <c r="G600" s="244"/>
      <c r="H600" s="244"/>
      <c r="I600" s="244"/>
      <c r="J600" s="244"/>
      <c r="K600" s="244"/>
      <c r="L600" s="244"/>
      <c r="M600" s="244"/>
      <c r="N600" s="244"/>
      <c r="O600" s="244"/>
      <c r="P600" s="244"/>
    </row>
    <row r="601" spans="5:16">
      <c r="E601" s="244"/>
      <c r="F601" s="244"/>
      <c r="G601" s="244"/>
      <c r="H601" s="244"/>
      <c r="I601" s="244"/>
      <c r="J601" s="244"/>
      <c r="K601" s="244"/>
      <c r="L601" s="244"/>
      <c r="M601" s="244"/>
      <c r="N601" s="244"/>
      <c r="O601" s="244"/>
      <c r="P601" s="244"/>
    </row>
    <row r="602" spans="5:16">
      <c r="E602" s="244"/>
      <c r="F602" s="244"/>
      <c r="G602" s="244"/>
      <c r="H602" s="244"/>
      <c r="I602" s="244"/>
      <c r="J602" s="244"/>
      <c r="K602" s="244"/>
      <c r="L602" s="244"/>
      <c r="M602" s="244"/>
      <c r="N602" s="244"/>
      <c r="O602" s="244"/>
      <c r="P602" s="244"/>
    </row>
    <row r="603" spans="5:16">
      <c r="E603" s="244"/>
      <c r="F603" s="244"/>
      <c r="G603" s="244"/>
      <c r="H603" s="244"/>
      <c r="I603" s="244"/>
      <c r="J603" s="244"/>
      <c r="K603" s="244"/>
      <c r="L603" s="244"/>
      <c r="M603" s="244"/>
      <c r="N603" s="244"/>
      <c r="O603" s="244"/>
      <c r="P603" s="244"/>
    </row>
    <row r="604" spans="5:16">
      <c r="E604" s="244"/>
      <c r="F604" s="244"/>
      <c r="G604" s="244"/>
      <c r="H604" s="244"/>
      <c r="I604" s="244"/>
      <c r="J604" s="244"/>
      <c r="K604" s="244"/>
      <c r="L604" s="244"/>
      <c r="M604" s="244"/>
      <c r="N604" s="244"/>
      <c r="O604" s="244"/>
      <c r="P604" s="244"/>
    </row>
    <row r="605" spans="5:16">
      <c r="E605" s="244"/>
      <c r="F605" s="244"/>
      <c r="G605" s="244"/>
      <c r="H605" s="244"/>
      <c r="I605" s="244"/>
      <c r="J605" s="244"/>
      <c r="K605" s="244"/>
      <c r="L605" s="244"/>
      <c r="M605" s="244"/>
      <c r="N605" s="244"/>
      <c r="O605" s="244"/>
      <c r="P605" s="244"/>
    </row>
    <row r="606" spans="5:16">
      <c r="E606" s="244"/>
      <c r="F606" s="244"/>
      <c r="G606" s="244"/>
      <c r="H606" s="244"/>
      <c r="I606" s="244"/>
      <c r="J606" s="244"/>
      <c r="K606" s="244"/>
      <c r="L606" s="244"/>
      <c r="M606" s="244"/>
      <c r="N606" s="244"/>
      <c r="O606" s="244"/>
      <c r="P606" s="244"/>
    </row>
    <row r="607" spans="5:16">
      <c r="E607" s="244"/>
      <c r="F607" s="244"/>
      <c r="G607" s="244"/>
      <c r="H607" s="244"/>
      <c r="I607" s="244"/>
      <c r="J607" s="244"/>
      <c r="K607" s="244"/>
      <c r="L607" s="244"/>
      <c r="M607" s="244"/>
      <c r="N607" s="244"/>
      <c r="O607" s="244"/>
      <c r="P607" s="244"/>
    </row>
    <row r="608" spans="5:16">
      <c r="E608" s="244"/>
      <c r="F608" s="244"/>
      <c r="G608" s="244"/>
      <c r="H608" s="244"/>
      <c r="I608" s="244"/>
      <c r="J608" s="244"/>
      <c r="K608" s="244"/>
      <c r="L608" s="244"/>
      <c r="M608" s="244"/>
      <c r="N608" s="244"/>
      <c r="O608" s="244"/>
      <c r="P608" s="244"/>
    </row>
    <row r="609" spans="5:16">
      <c r="E609" s="244"/>
      <c r="F609" s="244"/>
      <c r="G609" s="244"/>
      <c r="H609" s="244"/>
      <c r="I609" s="244"/>
      <c r="J609" s="244"/>
      <c r="K609" s="244"/>
      <c r="L609" s="244"/>
      <c r="M609" s="244"/>
      <c r="N609" s="244"/>
      <c r="O609" s="244"/>
      <c r="P609" s="244"/>
    </row>
    <row r="610" spans="5:16">
      <c r="E610" s="244"/>
      <c r="F610" s="244"/>
      <c r="G610" s="244"/>
      <c r="H610" s="244"/>
      <c r="I610" s="244"/>
      <c r="J610" s="244"/>
      <c r="K610" s="244"/>
      <c r="L610" s="244"/>
      <c r="M610" s="244"/>
      <c r="N610" s="244"/>
      <c r="O610" s="244"/>
      <c r="P610" s="244"/>
    </row>
    <row r="611" spans="5:16">
      <c r="E611" s="244"/>
      <c r="F611" s="244"/>
      <c r="G611" s="244"/>
      <c r="H611" s="244"/>
      <c r="I611" s="244"/>
      <c r="J611" s="244"/>
      <c r="K611" s="244"/>
      <c r="L611" s="244"/>
      <c r="M611" s="244"/>
      <c r="N611" s="244"/>
      <c r="O611" s="244"/>
      <c r="P611" s="244"/>
    </row>
    <row r="612" spans="5:16">
      <c r="E612" s="244"/>
      <c r="F612" s="244"/>
      <c r="G612" s="244"/>
      <c r="H612" s="244"/>
      <c r="I612" s="244"/>
      <c r="J612" s="244"/>
      <c r="K612" s="244"/>
      <c r="L612" s="244"/>
      <c r="M612" s="244"/>
      <c r="N612" s="244"/>
      <c r="O612" s="244"/>
      <c r="P612" s="244"/>
    </row>
    <row r="613" spans="5:16">
      <c r="E613" s="244"/>
      <c r="F613" s="244"/>
      <c r="G613" s="244"/>
      <c r="H613" s="244"/>
      <c r="I613" s="244"/>
      <c r="J613" s="244"/>
      <c r="K613" s="244"/>
      <c r="L613" s="244"/>
      <c r="M613" s="244"/>
      <c r="N613" s="244"/>
      <c r="O613" s="244"/>
      <c r="P613" s="244"/>
    </row>
    <row r="614" spans="5:16">
      <c r="E614" s="244"/>
      <c r="F614" s="244"/>
      <c r="G614" s="244"/>
      <c r="H614" s="244"/>
      <c r="I614" s="244"/>
      <c r="J614" s="244"/>
      <c r="K614" s="244"/>
      <c r="L614" s="244"/>
      <c r="M614" s="244"/>
      <c r="N614" s="244"/>
      <c r="O614" s="244"/>
      <c r="P614" s="244"/>
    </row>
    <row r="615" spans="5:16">
      <c r="E615" s="244"/>
      <c r="F615" s="244"/>
      <c r="G615" s="244"/>
      <c r="H615" s="244"/>
      <c r="I615" s="244"/>
      <c r="J615" s="244"/>
      <c r="K615" s="244"/>
      <c r="L615" s="244"/>
      <c r="M615" s="244"/>
      <c r="N615" s="244"/>
      <c r="O615" s="244"/>
      <c r="P615" s="244"/>
    </row>
    <row r="616" spans="5:16">
      <c r="E616" s="244"/>
      <c r="F616" s="244"/>
      <c r="G616" s="244"/>
      <c r="H616" s="244"/>
      <c r="I616" s="244"/>
      <c r="J616" s="244"/>
      <c r="K616" s="244"/>
      <c r="L616" s="244"/>
      <c r="M616" s="244"/>
      <c r="N616" s="244"/>
      <c r="O616" s="244"/>
      <c r="P616" s="244"/>
    </row>
    <row r="617" spans="5:16">
      <c r="E617" s="244"/>
      <c r="F617" s="244"/>
      <c r="G617" s="244"/>
      <c r="H617" s="244"/>
      <c r="I617" s="244"/>
      <c r="J617" s="244"/>
      <c r="K617" s="244"/>
      <c r="L617" s="244"/>
      <c r="M617" s="244"/>
      <c r="N617" s="244"/>
      <c r="O617" s="244"/>
      <c r="P617" s="244"/>
    </row>
    <row r="618" spans="5:16">
      <c r="E618" s="244"/>
      <c r="F618" s="244"/>
      <c r="G618" s="244"/>
      <c r="H618" s="244"/>
      <c r="I618" s="244"/>
      <c r="J618" s="244"/>
      <c r="K618" s="244"/>
      <c r="L618" s="244"/>
      <c r="M618" s="244"/>
      <c r="N618" s="244"/>
      <c r="O618" s="244"/>
      <c r="P618" s="244"/>
    </row>
    <row r="619" spans="5:16">
      <c r="E619" s="244"/>
      <c r="F619" s="244"/>
      <c r="G619" s="244"/>
      <c r="H619" s="244"/>
      <c r="I619" s="244"/>
      <c r="J619" s="244"/>
      <c r="K619" s="244"/>
      <c r="L619" s="244"/>
      <c r="M619" s="244"/>
      <c r="N619" s="244"/>
      <c r="O619" s="244"/>
      <c r="P619" s="244"/>
    </row>
    <row r="620" spans="5:16">
      <c r="E620" s="244"/>
      <c r="F620" s="244"/>
      <c r="G620" s="244"/>
      <c r="H620" s="244"/>
      <c r="I620" s="244"/>
      <c r="J620" s="244"/>
      <c r="K620" s="244"/>
      <c r="L620" s="244"/>
      <c r="M620" s="244"/>
      <c r="N620" s="244"/>
      <c r="O620" s="244"/>
      <c r="P620" s="244"/>
    </row>
    <row r="621" spans="5:16">
      <c r="E621" s="244"/>
      <c r="F621" s="244"/>
      <c r="G621" s="244"/>
      <c r="H621" s="244"/>
      <c r="I621" s="244"/>
      <c r="J621" s="244"/>
      <c r="K621" s="244"/>
      <c r="L621" s="244"/>
      <c r="M621" s="244"/>
      <c r="N621" s="244"/>
      <c r="O621" s="244"/>
      <c r="P621" s="244"/>
    </row>
    <row r="622" spans="5:16">
      <c r="E622" s="244"/>
      <c r="F622" s="244"/>
      <c r="G622" s="244"/>
      <c r="H622" s="244"/>
      <c r="I622" s="244"/>
      <c r="J622" s="244"/>
      <c r="K622" s="244"/>
      <c r="L622" s="244"/>
      <c r="M622" s="244"/>
      <c r="N622" s="244"/>
      <c r="O622" s="244"/>
      <c r="P622" s="244"/>
    </row>
    <row r="623" spans="5:16">
      <c r="E623" s="244"/>
      <c r="F623" s="244"/>
      <c r="G623" s="244"/>
      <c r="H623" s="244"/>
      <c r="I623" s="244"/>
      <c r="J623" s="244"/>
      <c r="K623" s="244"/>
      <c r="L623" s="244"/>
      <c r="M623" s="244"/>
      <c r="N623" s="244"/>
      <c r="O623" s="244"/>
      <c r="P623" s="244"/>
    </row>
    <row r="624" spans="5:16">
      <c r="E624" s="244"/>
      <c r="F624" s="244"/>
      <c r="G624" s="244"/>
      <c r="H624" s="244"/>
      <c r="I624" s="244"/>
      <c r="J624" s="244"/>
      <c r="K624" s="244"/>
      <c r="L624" s="244"/>
      <c r="M624" s="244"/>
      <c r="N624" s="244"/>
      <c r="O624" s="244"/>
      <c r="P624" s="244"/>
    </row>
    <row r="625" spans="5:16">
      <c r="E625" s="244"/>
      <c r="F625" s="244"/>
      <c r="G625" s="244"/>
      <c r="H625" s="244"/>
      <c r="I625" s="244"/>
      <c r="J625" s="244"/>
      <c r="K625" s="244"/>
      <c r="L625" s="244"/>
      <c r="M625" s="244"/>
      <c r="N625" s="244"/>
      <c r="O625" s="244"/>
      <c r="P625" s="244"/>
    </row>
    <row r="626" spans="5:16">
      <c r="E626" s="244"/>
      <c r="F626" s="244"/>
      <c r="G626" s="244"/>
      <c r="H626" s="244"/>
      <c r="I626" s="244"/>
      <c r="J626" s="244"/>
      <c r="K626" s="244"/>
      <c r="L626" s="244"/>
      <c r="M626" s="244"/>
      <c r="N626" s="244"/>
      <c r="O626" s="244"/>
      <c r="P626" s="244"/>
    </row>
    <row r="627" spans="5:16">
      <c r="E627" s="244"/>
      <c r="F627" s="244"/>
      <c r="G627" s="244"/>
      <c r="H627" s="244"/>
      <c r="I627" s="244"/>
      <c r="J627" s="244"/>
      <c r="K627" s="244"/>
      <c r="L627" s="244"/>
      <c r="M627" s="244"/>
      <c r="N627" s="244"/>
      <c r="O627" s="244"/>
      <c r="P627" s="244"/>
    </row>
    <row r="628" spans="5:16">
      <c r="E628" s="244"/>
      <c r="F628" s="244"/>
      <c r="G628" s="244"/>
      <c r="H628" s="244"/>
      <c r="I628" s="244"/>
      <c r="J628" s="244"/>
      <c r="K628" s="244"/>
      <c r="L628" s="244"/>
      <c r="M628" s="244"/>
      <c r="N628" s="244"/>
      <c r="O628" s="244"/>
      <c r="P628" s="244"/>
    </row>
    <row r="629" spans="5:16">
      <c r="E629" s="244"/>
      <c r="F629" s="244"/>
      <c r="G629" s="244"/>
      <c r="H629" s="244"/>
      <c r="I629" s="244"/>
      <c r="J629" s="244"/>
      <c r="K629" s="244"/>
      <c r="L629" s="244"/>
      <c r="M629" s="244"/>
      <c r="N629" s="244"/>
      <c r="O629" s="244"/>
      <c r="P629" s="244"/>
    </row>
    <row r="630" spans="5:16">
      <c r="E630" s="244"/>
      <c r="F630" s="244"/>
      <c r="G630" s="244"/>
      <c r="H630" s="244"/>
      <c r="I630" s="244"/>
      <c r="J630" s="244"/>
      <c r="K630" s="244"/>
      <c r="L630" s="244"/>
      <c r="M630" s="244"/>
      <c r="N630" s="244"/>
      <c r="O630" s="244"/>
      <c r="P630" s="244"/>
    </row>
    <row r="631" spans="5:16">
      <c r="E631" s="244"/>
      <c r="F631" s="244"/>
      <c r="G631" s="244"/>
      <c r="H631" s="244"/>
      <c r="I631" s="244"/>
      <c r="J631" s="244"/>
      <c r="K631" s="244"/>
      <c r="L631" s="244"/>
      <c r="M631" s="244"/>
      <c r="N631" s="244"/>
      <c r="O631" s="244"/>
      <c r="P631" s="244"/>
    </row>
    <row r="632" spans="5:16">
      <c r="E632" s="244"/>
      <c r="F632" s="244"/>
      <c r="G632" s="244"/>
      <c r="H632" s="244"/>
      <c r="I632" s="244"/>
      <c r="J632" s="244"/>
      <c r="K632" s="244"/>
      <c r="L632" s="244"/>
      <c r="M632" s="244"/>
      <c r="N632" s="244"/>
      <c r="O632" s="244"/>
      <c r="P632" s="244"/>
    </row>
    <row r="633" spans="5:16">
      <c r="E633" s="244"/>
      <c r="F633" s="244"/>
      <c r="G633" s="244"/>
      <c r="H633" s="244"/>
      <c r="I633" s="244"/>
      <c r="J633" s="244"/>
      <c r="K633" s="244"/>
      <c r="L633" s="244"/>
      <c r="M633" s="244"/>
      <c r="N633" s="244"/>
      <c r="O633" s="244"/>
      <c r="P633" s="244"/>
    </row>
    <row r="634" spans="5:16">
      <c r="E634" s="244"/>
      <c r="F634" s="244"/>
      <c r="G634" s="244"/>
      <c r="H634" s="244"/>
      <c r="I634" s="244"/>
      <c r="J634" s="244"/>
      <c r="K634" s="244"/>
      <c r="L634" s="244"/>
      <c r="M634" s="244"/>
      <c r="N634" s="244"/>
      <c r="O634" s="244"/>
      <c r="P634" s="244"/>
    </row>
    <row r="635" spans="5:16">
      <c r="E635" s="244"/>
      <c r="F635" s="244"/>
      <c r="G635" s="244"/>
      <c r="H635" s="244"/>
      <c r="I635" s="244"/>
      <c r="J635" s="244"/>
      <c r="K635" s="244"/>
      <c r="L635" s="244"/>
      <c r="M635" s="244"/>
      <c r="N635" s="244"/>
      <c r="O635" s="244"/>
      <c r="P635" s="244"/>
    </row>
    <row r="636" spans="5:16">
      <c r="E636" s="244"/>
      <c r="F636" s="244"/>
      <c r="G636" s="244"/>
      <c r="H636" s="244"/>
      <c r="I636" s="244"/>
      <c r="J636" s="244"/>
      <c r="K636" s="244"/>
      <c r="L636" s="244"/>
      <c r="M636" s="244"/>
      <c r="N636" s="244"/>
      <c r="O636" s="244"/>
      <c r="P636" s="244"/>
    </row>
    <row r="637" spans="5:16">
      <c r="E637" s="244"/>
      <c r="F637" s="244"/>
      <c r="G637" s="244"/>
      <c r="H637" s="244"/>
      <c r="I637" s="244"/>
      <c r="J637" s="244"/>
      <c r="K637" s="244"/>
      <c r="L637" s="244"/>
      <c r="M637" s="244"/>
      <c r="N637" s="244"/>
      <c r="O637" s="244"/>
      <c r="P637" s="244"/>
    </row>
    <row r="638" spans="5:16">
      <c r="E638" s="244"/>
      <c r="F638" s="244"/>
      <c r="G638" s="244"/>
      <c r="H638" s="244"/>
      <c r="I638" s="244"/>
      <c r="J638" s="244"/>
      <c r="K638" s="244"/>
      <c r="L638" s="244"/>
      <c r="M638" s="244"/>
      <c r="N638" s="244"/>
      <c r="O638" s="244"/>
      <c r="P638" s="244"/>
    </row>
    <row r="639" spans="5:16">
      <c r="E639" s="244"/>
      <c r="F639" s="244"/>
      <c r="G639" s="244"/>
      <c r="H639" s="244"/>
      <c r="I639" s="244"/>
      <c r="J639" s="244"/>
      <c r="K639" s="244"/>
      <c r="L639" s="244"/>
      <c r="M639" s="244"/>
      <c r="N639" s="244"/>
      <c r="O639" s="244"/>
      <c r="P639" s="244"/>
    </row>
    <row r="640" spans="5:16">
      <c r="E640" s="244"/>
      <c r="F640" s="244"/>
      <c r="G640" s="244"/>
      <c r="H640" s="244"/>
      <c r="I640" s="244"/>
      <c r="J640" s="244"/>
      <c r="K640" s="244"/>
      <c r="L640" s="244"/>
      <c r="M640" s="244"/>
      <c r="N640" s="244"/>
      <c r="O640" s="244"/>
      <c r="P640" s="244"/>
    </row>
    <row r="641" spans="5:16">
      <c r="E641" s="244"/>
      <c r="F641" s="244"/>
      <c r="G641" s="244"/>
      <c r="H641" s="244"/>
      <c r="I641" s="244"/>
      <c r="J641" s="244"/>
      <c r="K641" s="244"/>
      <c r="L641" s="244"/>
      <c r="M641" s="244"/>
      <c r="N641" s="244"/>
      <c r="O641" s="244"/>
      <c r="P641" s="244"/>
    </row>
    <row r="642" spans="5:16">
      <c r="E642" s="244"/>
      <c r="F642" s="244"/>
      <c r="G642" s="244"/>
      <c r="H642" s="244"/>
      <c r="I642" s="244"/>
      <c r="J642" s="244"/>
      <c r="K642" s="244"/>
      <c r="L642" s="244"/>
      <c r="M642" s="244"/>
      <c r="N642" s="244"/>
      <c r="O642" s="244"/>
      <c r="P642" s="244"/>
    </row>
    <row r="643" spans="5:16">
      <c r="E643" s="244"/>
      <c r="F643" s="244"/>
      <c r="G643" s="244"/>
      <c r="H643" s="244"/>
      <c r="I643" s="244"/>
      <c r="J643" s="244"/>
      <c r="K643" s="244"/>
      <c r="L643" s="244"/>
      <c r="M643" s="244"/>
      <c r="N643" s="244"/>
      <c r="O643" s="244"/>
      <c r="P643" s="244"/>
    </row>
    <row r="644" spans="5:16">
      <c r="E644" s="244"/>
      <c r="F644" s="244"/>
      <c r="G644" s="244"/>
      <c r="H644" s="244"/>
      <c r="I644" s="244"/>
      <c r="J644" s="244"/>
      <c r="K644" s="244"/>
      <c r="L644" s="244"/>
      <c r="M644" s="244"/>
      <c r="N644" s="244"/>
      <c r="O644" s="244"/>
      <c r="P644" s="244"/>
    </row>
    <row r="645" spans="5:16">
      <c r="E645" s="244"/>
      <c r="F645" s="244"/>
      <c r="G645" s="244"/>
      <c r="H645" s="244"/>
      <c r="I645" s="244"/>
      <c r="J645" s="244"/>
      <c r="K645" s="244"/>
      <c r="L645" s="244"/>
      <c r="M645" s="244"/>
      <c r="N645" s="244"/>
      <c r="O645" s="244"/>
      <c r="P645" s="244"/>
    </row>
    <row r="646" spans="5:16">
      <c r="E646" s="244"/>
      <c r="F646" s="244"/>
      <c r="G646" s="244"/>
      <c r="H646" s="244"/>
      <c r="I646" s="244"/>
      <c r="J646" s="244"/>
      <c r="K646" s="244"/>
      <c r="L646" s="244"/>
      <c r="M646" s="244"/>
      <c r="N646" s="244"/>
      <c r="O646" s="244"/>
      <c r="P646" s="244"/>
    </row>
    <row r="647" spans="5:16">
      <c r="E647" s="244"/>
      <c r="F647" s="244"/>
      <c r="G647" s="244"/>
      <c r="H647" s="244"/>
      <c r="I647" s="244"/>
      <c r="J647" s="244"/>
      <c r="K647" s="244"/>
      <c r="L647" s="244"/>
      <c r="M647" s="244"/>
      <c r="N647" s="244"/>
      <c r="O647" s="244"/>
      <c r="P647" s="244"/>
    </row>
    <row r="648" spans="5:16">
      <c r="E648" s="244"/>
      <c r="F648" s="244"/>
      <c r="G648" s="244"/>
      <c r="H648" s="244"/>
      <c r="I648" s="244"/>
      <c r="J648" s="244"/>
      <c r="K648" s="244"/>
      <c r="L648" s="244"/>
      <c r="M648" s="244"/>
      <c r="N648" s="244"/>
      <c r="O648" s="244"/>
      <c r="P648" s="244"/>
    </row>
    <row r="649" spans="5:16">
      <c r="E649" s="244"/>
      <c r="F649" s="244"/>
      <c r="G649" s="244"/>
      <c r="H649" s="244"/>
      <c r="I649" s="244"/>
      <c r="J649" s="244"/>
      <c r="K649" s="244"/>
      <c r="L649" s="244"/>
      <c r="M649" s="244"/>
      <c r="N649" s="244"/>
      <c r="O649" s="244"/>
      <c r="P649" s="244"/>
    </row>
    <row r="650" spans="5:16">
      <c r="E650" s="244"/>
      <c r="F650" s="244"/>
      <c r="G650" s="244"/>
      <c r="H650" s="244"/>
      <c r="I650" s="244"/>
      <c r="J650" s="244"/>
      <c r="K650" s="244"/>
      <c r="L650" s="244"/>
      <c r="M650" s="244"/>
      <c r="N650" s="244"/>
      <c r="O650" s="244"/>
      <c r="P650" s="244"/>
    </row>
    <row r="651" spans="5:16">
      <c r="E651" s="244"/>
      <c r="F651" s="244"/>
      <c r="G651" s="244"/>
      <c r="H651" s="244"/>
      <c r="I651" s="244"/>
      <c r="J651" s="244"/>
      <c r="K651" s="244"/>
      <c r="L651" s="244"/>
      <c r="M651" s="244"/>
      <c r="N651" s="244"/>
      <c r="O651" s="244"/>
      <c r="P651" s="244"/>
    </row>
    <row r="652" spans="5:16">
      <c r="E652" s="244"/>
      <c r="F652" s="244"/>
      <c r="G652" s="244"/>
      <c r="H652" s="244"/>
      <c r="I652" s="244"/>
      <c r="J652" s="244"/>
      <c r="K652" s="244"/>
      <c r="L652" s="244"/>
      <c r="M652" s="244"/>
      <c r="N652" s="244"/>
      <c r="O652" s="244"/>
      <c r="P652" s="244"/>
    </row>
    <row r="653" spans="5:16">
      <c r="E653" s="244"/>
      <c r="F653" s="244"/>
      <c r="G653" s="244"/>
      <c r="H653" s="244"/>
      <c r="I653" s="244"/>
      <c r="J653" s="244"/>
      <c r="K653" s="244"/>
      <c r="L653" s="244"/>
      <c r="M653" s="244"/>
      <c r="N653" s="244"/>
      <c r="O653" s="244"/>
      <c r="P653" s="244"/>
    </row>
    <row r="654" spans="5:16">
      <c r="E654" s="244"/>
      <c r="F654" s="244"/>
      <c r="G654" s="244"/>
      <c r="H654" s="244"/>
      <c r="I654" s="244"/>
      <c r="J654" s="244"/>
      <c r="K654" s="244"/>
      <c r="L654" s="244"/>
      <c r="M654" s="244"/>
      <c r="N654" s="244"/>
      <c r="O654" s="244"/>
      <c r="P654" s="244"/>
    </row>
    <row r="655" spans="5:16">
      <c r="E655" s="244"/>
      <c r="F655" s="244"/>
      <c r="G655" s="244"/>
      <c r="H655" s="244"/>
      <c r="I655" s="244"/>
      <c r="J655" s="244"/>
      <c r="K655" s="244"/>
      <c r="L655" s="244"/>
      <c r="M655" s="244"/>
      <c r="N655" s="244"/>
      <c r="O655" s="244"/>
      <c r="P655" s="244"/>
    </row>
    <row r="656" spans="5:16">
      <c r="E656" s="244"/>
      <c r="F656" s="244"/>
      <c r="G656" s="244"/>
      <c r="H656" s="244"/>
      <c r="I656" s="244"/>
      <c r="J656" s="244"/>
      <c r="K656" s="244"/>
      <c r="L656" s="244"/>
      <c r="M656" s="244"/>
      <c r="N656" s="244"/>
      <c r="O656" s="244"/>
      <c r="P656" s="244"/>
    </row>
    <row r="657" spans="5:16">
      <c r="E657" s="244"/>
      <c r="F657" s="244"/>
      <c r="G657" s="244"/>
      <c r="H657" s="244"/>
      <c r="I657" s="244"/>
      <c r="J657" s="244"/>
      <c r="K657" s="244"/>
      <c r="L657" s="244"/>
      <c r="M657" s="244"/>
      <c r="N657" s="244"/>
      <c r="O657" s="244"/>
      <c r="P657" s="244"/>
    </row>
    <row r="658" spans="5:16">
      <c r="E658" s="244"/>
      <c r="F658" s="244"/>
      <c r="G658" s="244"/>
      <c r="H658" s="244"/>
      <c r="I658" s="244"/>
      <c r="J658" s="244"/>
      <c r="K658" s="244"/>
      <c r="L658" s="244"/>
      <c r="M658" s="244"/>
      <c r="N658" s="244"/>
      <c r="O658" s="244"/>
      <c r="P658" s="244"/>
    </row>
    <row r="659" spans="5:16">
      <c r="E659" s="244"/>
      <c r="F659" s="244"/>
      <c r="G659" s="244"/>
      <c r="H659" s="244"/>
      <c r="I659" s="244"/>
      <c r="J659" s="244"/>
      <c r="K659" s="244"/>
      <c r="L659" s="244"/>
      <c r="M659" s="244"/>
      <c r="N659" s="244"/>
      <c r="O659" s="244"/>
      <c r="P659" s="244"/>
    </row>
    <row r="660" spans="5:16">
      <c r="E660" s="244"/>
      <c r="F660" s="244"/>
      <c r="G660" s="244"/>
      <c r="H660" s="244"/>
      <c r="I660" s="244"/>
      <c r="J660" s="244"/>
      <c r="K660" s="244"/>
      <c r="L660" s="244"/>
      <c r="M660" s="244"/>
      <c r="N660" s="244"/>
      <c r="O660" s="244"/>
      <c r="P660" s="244"/>
    </row>
    <row r="661" spans="5:16">
      <c r="E661" s="244"/>
      <c r="F661" s="244"/>
      <c r="G661" s="244"/>
      <c r="H661" s="244"/>
      <c r="I661" s="244"/>
      <c r="J661" s="244"/>
      <c r="K661" s="244"/>
      <c r="L661" s="244"/>
      <c r="M661" s="244"/>
      <c r="N661" s="244"/>
      <c r="O661" s="244"/>
      <c r="P661" s="244"/>
    </row>
    <row r="662" spans="5:16">
      <c r="E662" s="244"/>
      <c r="F662" s="244"/>
      <c r="G662" s="244"/>
      <c r="H662" s="244"/>
      <c r="I662" s="244"/>
      <c r="J662" s="244"/>
      <c r="K662" s="244"/>
      <c r="L662" s="244"/>
      <c r="M662" s="244"/>
      <c r="N662" s="244"/>
      <c r="O662" s="244"/>
      <c r="P662" s="244"/>
    </row>
    <row r="663" spans="5:16">
      <c r="E663" s="244"/>
      <c r="F663" s="244"/>
      <c r="G663" s="244"/>
      <c r="H663" s="244"/>
      <c r="I663" s="244"/>
      <c r="J663" s="244"/>
      <c r="K663" s="244"/>
      <c r="L663" s="244"/>
      <c r="M663" s="244"/>
      <c r="N663" s="244"/>
      <c r="O663" s="244"/>
      <c r="P663" s="244"/>
    </row>
    <row r="664" spans="5:16">
      <c r="E664" s="244"/>
      <c r="F664" s="244"/>
      <c r="G664" s="244"/>
      <c r="H664" s="244"/>
      <c r="I664" s="244"/>
      <c r="J664" s="244"/>
      <c r="K664" s="244"/>
      <c r="L664" s="244"/>
      <c r="M664" s="244"/>
      <c r="N664" s="244"/>
      <c r="O664" s="244"/>
      <c r="P664" s="244"/>
    </row>
    <row r="665" spans="5:16">
      <c r="E665" s="244"/>
      <c r="F665" s="244"/>
      <c r="G665" s="244"/>
      <c r="H665" s="244"/>
      <c r="I665" s="244"/>
      <c r="J665" s="244"/>
      <c r="K665" s="244"/>
      <c r="L665" s="244"/>
      <c r="M665" s="244"/>
      <c r="N665" s="244"/>
      <c r="O665" s="244"/>
      <c r="P665" s="244"/>
    </row>
    <row r="666" spans="5:16">
      <c r="E666" s="244"/>
      <c r="F666" s="244"/>
      <c r="G666" s="244"/>
      <c r="H666" s="244"/>
      <c r="I666" s="244"/>
      <c r="J666" s="244"/>
      <c r="K666" s="244"/>
      <c r="L666" s="244"/>
      <c r="M666" s="244"/>
      <c r="N666" s="244"/>
      <c r="O666" s="244"/>
      <c r="P666" s="244"/>
    </row>
    <row r="667" spans="5:16">
      <c r="E667" s="244"/>
      <c r="F667" s="244"/>
      <c r="G667" s="244"/>
      <c r="H667" s="244"/>
      <c r="I667" s="244"/>
      <c r="J667" s="244"/>
      <c r="K667" s="244"/>
      <c r="L667" s="244"/>
      <c r="M667" s="244"/>
      <c r="N667" s="244"/>
      <c r="O667" s="244"/>
      <c r="P667" s="244"/>
    </row>
    <row r="668" spans="5:16">
      <c r="E668" s="244"/>
      <c r="F668" s="244"/>
      <c r="G668" s="244"/>
      <c r="H668" s="244"/>
      <c r="I668" s="244"/>
      <c r="J668" s="244"/>
      <c r="K668" s="244"/>
      <c r="L668" s="244"/>
      <c r="M668" s="244"/>
      <c r="N668" s="244"/>
      <c r="O668" s="244"/>
      <c r="P668" s="244"/>
    </row>
    <row r="669" spans="5:16">
      <c r="E669" s="244"/>
      <c r="F669" s="244"/>
      <c r="G669" s="244"/>
      <c r="H669" s="244"/>
      <c r="I669" s="244"/>
      <c r="J669" s="244"/>
      <c r="K669" s="244"/>
      <c r="L669" s="244"/>
      <c r="M669" s="244"/>
      <c r="N669" s="244"/>
      <c r="O669" s="244"/>
      <c r="P669" s="244"/>
    </row>
    <row r="670" spans="5:16">
      <c r="E670" s="244"/>
      <c r="F670" s="244"/>
      <c r="G670" s="244"/>
      <c r="H670" s="244"/>
      <c r="I670" s="244"/>
      <c r="J670" s="244"/>
      <c r="K670" s="244"/>
      <c r="L670" s="244"/>
      <c r="M670" s="244"/>
      <c r="N670" s="244"/>
      <c r="O670" s="244"/>
      <c r="P670" s="244"/>
    </row>
    <row r="671" spans="5:16">
      <c r="E671" s="244"/>
      <c r="F671" s="244"/>
      <c r="G671" s="244"/>
      <c r="H671" s="244"/>
      <c r="I671" s="244"/>
      <c r="J671" s="244"/>
      <c r="K671" s="244"/>
      <c r="L671" s="244"/>
      <c r="M671" s="244"/>
      <c r="N671" s="244"/>
      <c r="O671" s="244"/>
      <c r="P671" s="244"/>
    </row>
    <row r="672" spans="5:16">
      <c r="E672" s="244"/>
      <c r="F672" s="244"/>
      <c r="G672" s="244"/>
      <c r="H672" s="244"/>
      <c r="I672" s="244"/>
      <c r="J672" s="244"/>
      <c r="K672" s="244"/>
      <c r="L672" s="244"/>
      <c r="M672" s="244"/>
      <c r="N672" s="244"/>
      <c r="O672" s="244"/>
      <c r="P672" s="244"/>
    </row>
    <row r="673" spans="5:16">
      <c r="E673" s="244"/>
      <c r="F673" s="244"/>
      <c r="G673" s="244"/>
      <c r="H673" s="244"/>
      <c r="I673" s="244"/>
      <c r="J673" s="244"/>
      <c r="K673" s="244"/>
      <c r="L673" s="244"/>
      <c r="M673" s="244"/>
      <c r="N673" s="244"/>
      <c r="O673" s="244"/>
      <c r="P673" s="244"/>
    </row>
    <row r="674" spans="5:16">
      <c r="E674" s="244"/>
      <c r="F674" s="244"/>
      <c r="G674" s="244"/>
      <c r="H674" s="244"/>
      <c r="I674" s="244"/>
      <c r="J674" s="244"/>
      <c r="K674" s="244"/>
      <c r="L674" s="244"/>
      <c r="M674" s="244"/>
      <c r="N674" s="244"/>
      <c r="O674" s="244"/>
      <c r="P674" s="244"/>
    </row>
    <row r="675" spans="5:16">
      <c r="E675" s="244"/>
      <c r="F675" s="244"/>
      <c r="G675" s="244"/>
      <c r="H675" s="244"/>
      <c r="I675" s="244"/>
      <c r="J675" s="244"/>
      <c r="K675" s="244"/>
      <c r="L675" s="244"/>
      <c r="M675" s="244"/>
      <c r="N675" s="244"/>
      <c r="O675" s="244"/>
      <c r="P675" s="244"/>
    </row>
    <row r="676" spans="5:16">
      <c r="E676" s="244"/>
      <c r="F676" s="244"/>
      <c r="G676" s="244"/>
      <c r="H676" s="244"/>
      <c r="I676" s="244"/>
      <c r="J676" s="244"/>
      <c r="K676" s="244"/>
      <c r="L676" s="244"/>
      <c r="M676" s="244"/>
      <c r="N676" s="244"/>
      <c r="O676" s="244"/>
      <c r="P676" s="244"/>
    </row>
    <row r="677" spans="5:16">
      <c r="E677" s="244"/>
      <c r="F677" s="244"/>
      <c r="G677" s="244"/>
      <c r="H677" s="244"/>
      <c r="I677" s="244"/>
      <c r="J677" s="244"/>
      <c r="K677" s="244"/>
      <c r="L677" s="244"/>
      <c r="M677" s="244"/>
      <c r="N677" s="244"/>
      <c r="O677" s="244"/>
      <c r="P677" s="244"/>
    </row>
    <row r="678" spans="5:16">
      <c r="E678" s="244"/>
      <c r="F678" s="244"/>
      <c r="G678" s="244"/>
      <c r="H678" s="244"/>
      <c r="I678" s="244"/>
      <c r="J678" s="244"/>
      <c r="K678" s="244"/>
      <c r="L678" s="244"/>
      <c r="M678" s="244"/>
      <c r="N678" s="244"/>
      <c r="O678" s="244"/>
      <c r="P678" s="244"/>
    </row>
    <row r="679" spans="5:16">
      <c r="E679" s="244"/>
      <c r="F679" s="244"/>
      <c r="G679" s="244"/>
      <c r="H679" s="244"/>
      <c r="I679" s="244"/>
      <c r="J679" s="244"/>
      <c r="K679" s="244"/>
      <c r="L679" s="244"/>
      <c r="M679" s="244"/>
      <c r="N679" s="244"/>
      <c r="O679" s="244"/>
      <c r="P679" s="244"/>
    </row>
    <row r="680" spans="5:16">
      <c r="E680" s="244"/>
      <c r="F680" s="244"/>
      <c r="G680" s="244"/>
      <c r="H680" s="244"/>
      <c r="I680" s="244"/>
      <c r="J680" s="244"/>
      <c r="K680" s="244"/>
      <c r="L680" s="244"/>
      <c r="M680" s="244"/>
      <c r="N680" s="244"/>
      <c r="O680" s="244"/>
      <c r="P680" s="244"/>
    </row>
    <row r="681" spans="5:16">
      <c r="E681" s="244"/>
      <c r="F681" s="244"/>
      <c r="G681" s="244"/>
      <c r="H681" s="244"/>
      <c r="I681" s="244"/>
      <c r="J681" s="244"/>
      <c r="K681" s="244"/>
      <c r="L681" s="244"/>
      <c r="M681" s="244"/>
      <c r="N681" s="244"/>
      <c r="O681" s="244"/>
      <c r="P681" s="244"/>
    </row>
    <row r="682" spans="5:16">
      <c r="E682" s="244"/>
      <c r="F682" s="244"/>
      <c r="G682" s="244"/>
      <c r="H682" s="244"/>
      <c r="I682" s="244"/>
      <c r="J682" s="244"/>
      <c r="K682" s="244"/>
      <c r="L682" s="244"/>
      <c r="M682" s="244"/>
      <c r="N682" s="244"/>
      <c r="O682" s="244"/>
      <c r="P682" s="244"/>
    </row>
    <row r="683" spans="5:16">
      <c r="E683" s="244"/>
      <c r="F683" s="244"/>
      <c r="G683" s="244"/>
      <c r="H683" s="244"/>
      <c r="I683" s="244"/>
      <c r="J683" s="244"/>
      <c r="K683" s="244"/>
      <c r="L683" s="244"/>
      <c r="M683" s="244"/>
      <c r="N683" s="244"/>
      <c r="O683" s="244"/>
      <c r="P683" s="244"/>
    </row>
    <row r="684" spans="5:16">
      <c r="E684" s="244"/>
      <c r="F684" s="244"/>
      <c r="G684" s="244"/>
      <c r="H684" s="244"/>
      <c r="I684" s="244"/>
      <c r="J684" s="244"/>
      <c r="K684" s="244"/>
      <c r="L684" s="244"/>
      <c r="M684" s="244"/>
      <c r="N684" s="244"/>
      <c r="O684" s="244"/>
      <c r="P684" s="244"/>
    </row>
    <row r="685" spans="5:16">
      <c r="E685" s="244"/>
      <c r="F685" s="244"/>
      <c r="G685" s="244"/>
      <c r="H685" s="244"/>
      <c r="I685" s="244"/>
      <c r="J685" s="244"/>
      <c r="K685" s="244"/>
      <c r="L685" s="244"/>
      <c r="M685" s="244"/>
      <c r="N685" s="244"/>
      <c r="O685" s="244"/>
      <c r="P685" s="244"/>
    </row>
    <row r="686" spans="5:16">
      <c r="E686" s="244"/>
      <c r="F686" s="244"/>
      <c r="G686" s="244"/>
      <c r="H686" s="244"/>
      <c r="I686" s="244"/>
      <c r="J686" s="244"/>
      <c r="K686" s="244"/>
      <c r="L686" s="244"/>
      <c r="M686" s="244"/>
      <c r="N686" s="244"/>
      <c r="O686" s="244"/>
      <c r="P686" s="244"/>
    </row>
    <row r="687" spans="5:16">
      <c r="E687" s="244"/>
      <c r="F687" s="244"/>
      <c r="G687" s="244"/>
      <c r="H687" s="244"/>
      <c r="I687" s="244"/>
      <c r="J687" s="244"/>
      <c r="K687" s="244"/>
      <c r="L687" s="244"/>
      <c r="M687" s="244"/>
      <c r="N687" s="244"/>
      <c r="O687" s="244"/>
      <c r="P687" s="244"/>
    </row>
    <row r="688" spans="5:16">
      <c r="E688" s="244"/>
      <c r="F688" s="244"/>
      <c r="G688" s="244"/>
      <c r="H688" s="244"/>
      <c r="I688" s="244"/>
      <c r="J688" s="244"/>
      <c r="K688" s="244"/>
      <c r="L688" s="244"/>
      <c r="M688" s="244"/>
      <c r="N688" s="244"/>
      <c r="O688" s="244"/>
      <c r="P688" s="244"/>
    </row>
    <row r="689" spans="5:16">
      <c r="E689" s="244"/>
      <c r="F689" s="244"/>
      <c r="G689" s="244"/>
      <c r="H689" s="244"/>
      <c r="I689" s="244"/>
      <c r="J689" s="244"/>
      <c r="K689" s="244"/>
      <c r="L689" s="244"/>
      <c r="M689" s="244"/>
      <c r="N689" s="244"/>
      <c r="O689" s="244"/>
      <c r="P689" s="244"/>
    </row>
    <row r="690" spans="5:16">
      <c r="E690" s="244"/>
      <c r="F690" s="244"/>
      <c r="G690" s="244"/>
      <c r="H690" s="244"/>
      <c r="I690" s="244"/>
      <c r="J690" s="244"/>
      <c r="K690" s="244"/>
      <c r="L690" s="244"/>
      <c r="M690" s="244"/>
      <c r="N690" s="244"/>
      <c r="O690" s="244"/>
      <c r="P690" s="244"/>
    </row>
    <row r="691" spans="5:16">
      <c r="E691" s="244"/>
      <c r="F691" s="244"/>
      <c r="G691" s="244"/>
      <c r="H691" s="244"/>
      <c r="I691" s="244"/>
      <c r="J691" s="244"/>
      <c r="K691" s="244"/>
      <c r="L691" s="244"/>
      <c r="M691" s="244"/>
      <c r="N691" s="244"/>
      <c r="O691" s="244"/>
      <c r="P691" s="244"/>
    </row>
    <row r="692" spans="5:16">
      <c r="E692" s="244"/>
      <c r="F692" s="244"/>
      <c r="G692" s="244"/>
      <c r="H692" s="244"/>
      <c r="I692" s="244"/>
      <c r="J692" s="244"/>
      <c r="K692" s="244"/>
      <c r="L692" s="244"/>
      <c r="M692" s="244"/>
      <c r="N692" s="244"/>
      <c r="O692" s="244"/>
      <c r="P692" s="244"/>
    </row>
    <row r="693" spans="5:16">
      <c r="E693" s="244"/>
      <c r="F693" s="244"/>
      <c r="G693" s="244"/>
      <c r="H693" s="244"/>
      <c r="I693" s="244"/>
      <c r="J693" s="244"/>
      <c r="K693" s="244"/>
      <c r="L693" s="244"/>
      <c r="M693" s="244"/>
      <c r="N693" s="244"/>
      <c r="O693" s="244"/>
      <c r="P693" s="244"/>
    </row>
    <row r="694" spans="5:16">
      <c r="E694" s="244"/>
      <c r="F694" s="244"/>
      <c r="G694" s="244"/>
      <c r="H694" s="244"/>
      <c r="I694" s="244"/>
      <c r="J694" s="244"/>
      <c r="K694" s="244"/>
      <c r="L694" s="244"/>
      <c r="M694" s="244"/>
      <c r="N694" s="244"/>
      <c r="O694" s="244"/>
      <c r="P694" s="244"/>
    </row>
    <row r="695" spans="5:16">
      <c r="E695" s="244"/>
      <c r="F695" s="244"/>
      <c r="G695" s="244"/>
      <c r="H695" s="244"/>
      <c r="I695" s="244"/>
      <c r="J695" s="244"/>
      <c r="K695" s="244"/>
      <c r="L695" s="244"/>
      <c r="M695" s="244"/>
      <c r="N695" s="244"/>
      <c r="O695" s="244"/>
      <c r="P695" s="244"/>
    </row>
    <row r="696" spans="5:16">
      <c r="E696" s="244"/>
      <c r="F696" s="244"/>
      <c r="G696" s="244"/>
      <c r="H696" s="244"/>
      <c r="I696" s="244"/>
      <c r="J696" s="244"/>
      <c r="K696" s="244"/>
      <c r="L696" s="244"/>
      <c r="M696" s="244"/>
      <c r="N696" s="244"/>
      <c r="O696" s="244"/>
      <c r="P696" s="244"/>
    </row>
    <row r="697" spans="5:16">
      <c r="E697" s="244"/>
      <c r="F697" s="244"/>
      <c r="G697" s="244"/>
      <c r="H697" s="244"/>
      <c r="I697" s="244"/>
      <c r="J697" s="244"/>
      <c r="K697" s="244"/>
      <c r="L697" s="244"/>
      <c r="M697" s="244"/>
      <c r="N697" s="244"/>
      <c r="O697" s="244"/>
      <c r="P697" s="244"/>
    </row>
    <row r="698" spans="5:16">
      <c r="E698" s="244"/>
      <c r="F698" s="244"/>
      <c r="G698" s="244"/>
      <c r="H698" s="244"/>
      <c r="I698" s="244"/>
      <c r="J698" s="244"/>
      <c r="K698" s="244"/>
      <c r="L698" s="244"/>
      <c r="M698" s="244"/>
      <c r="N698" s="244"/>
      <c r="O698" s="244"/>
      <c r="P698" s="244"/>
    </row>
    <row r="699" spans="5:16">
      <c r="E699" s="244"/>
      <c r="F699" s="244"/>
      <c r="G699" s="244"/>
      <c r="H699" s="244"/>
      <c r="I699" s="244"/>
      <c r="J699" s="244"/>
      <c r="K699" s="244"/>
      <c r="L699" s="244"/>
      <c r="M699" s="244"/>
      <c r="N699" s="244"/>
      <c r="O699" s="244"/>
      <c r="P699" s="244"/>
    </row>
    <row r="700" spans="5:16">
      <c r="E700" s="244"/>
      <c r="F700" s="244"/>
      <c r="G700" s="244"/>
      <c r="H700" s="244"/>
      <c r="I700" s="244"/>
      <c r="J700" s="244"/>
      <c r="K700" s="244"/>
      <c r="L700" s="244"/>
      <c r="M700" s="244"/>
      <c r="N700" s="244"/>
      <c r="O700" s="244"/>
      <c r="P700" s="244"/>
    </row>
    <row r="701" spans="5:16">
      <c r="E701" s="244"/>
      <c r="F701" s="244"/>
      <c r="G701" s="244"/>
      <c r="H701" s="244"/>
      <c r="I701" s="244"/>
      <c r="J701" s="244"/>
      <c r="K701" s="244"/>
      <c r="L701" s="244"/>
      <c r="M701" s="244"/>
      <c r="N701" s="244"/>
      <c r="O701" s="244"/>
      <c r="P701" s="244"/>
    </row>
    <row r="702" spans="5:16">
      <c r="E702" s="244"/>
      <c r="F702" s="244"/>
      <c r="G702" s="244"/>
      <c r="H702" s="244"/>
      <c r="I702" s="244"/>
      <c r="J702" s="244"/>
      <c r="K702" s="244"/>
      <c r="L702" s="244"/>
      <c r="M702" s="244"/>
      <c r="N702" s="244"/>
      <c r="O702" s="244"/>
      <c r="P702" s="244"/>
    </row>
    <row r="703" spans="5:16">
      <c r="E703" s="244"/>
      <c r="F703" s="244"/>
      <c r="G703" s="244"/>
      <c r="H703" s="244"/>
      <c r="I703" s="244"/>
      <c r="J703" s="244"/>
      <c r="K703" s="244"/>
      <c r="L703" s="244"/>
      <c r="M703" s="244"/>
      <c r="N703" s="244"/>
      <c r="O703" s="244"/>
      <c r="P703" s="244"/>
    </row>
    <row r="704" spans="5:16">
      <c r="E704" s="244"/>
      <c r="F704" s="244"/>
      <c r="G704" s="244"/>
      <c r="H704" s="244"/>
      <c r="I704" s="244"/>
      <c r="J704" s="244"/>
      <c r="K704" s="244"/>
      <c r="L704" s="244"/>
      <c r="M704" s="244"/>
      <c r="N704" s="244"/>
      <c r="O704" s="244"/>
      <c r="P704" s="244"/>
    </row>
    <row r="705" spans="5:16">
      <c r="E705" s="244"/>
      <c r="F705" s="244"/>
      <c r="G705" s="244"/>
      <c r="H705" s="244"/>
      <c r="I705" s="244"/>
      <c r="J705" s="244"/>
      <c r="K705" s="244"/>
      <c r="L705" s="244"/>
      <c r="M705" s="244"/>
      <c r="N705" s="244"/>
      <c r="O705" s="244"/>
      <c r="P705" s="244"/>
    </row>
    <row r="706" spans="5:16">
      <c r="E706" s="244"/>
      <c r="F706" s="244"/>
      <c r="G706" s="244"/>
      <c r="H706" s="244"/>
      <c r="I706" s="244"/>
      <c r="J706" s="244"/>
      <c r="K706" s="244"/>
      <c r="L706" s="244"/>
      <c r="M706" s="244"/>
      <c r="N706" s="244"/>
      <c r="O706" s="244"/>
      <c r="P706" s="244"/>
    </row>
    <row r="707" spans="5:16">
      <c r="E707" s="244"/>
      <c r="F707" s="244"/>
      <c r="G707" s="244"/>
      <c r="H707" s="244"/>
      <c r="I707" s="244"/>
      <c r="J707" s="244"/>
      <c r="K707" s="244"/>
      <c r="L707" s="244"/>
      <c r="M707" s="244"/>
      <c r="N707" s="244"/>
      <c r="O707" s="244"/>
      <c r="P707" s="244"/>
    </row>
    <row r="708" spans="5:16">
      <c r="E708" s="244"/>
      <c r="F708" s="244"/>
      <c r="G708" s="244"/>
      <c r="H708" s="244"/>
      <c r="I708" s="244"/>
      <c r="J708" s="244"/>
      <c r="K708" s="244"/>
      <c r="L708" s="244"/>
      <c r="M708" s="244"/>
      <c r="N708" s="244"/>
      <c r="O708" s="244"/>
      <c r="P708" s="244"/>
    </row>
    <row r="709" spans="5:16">
      <c r="E709" s="244"/>
      <c r="F709" s="244"/>
      <c r="G709" s="244"/>
      <c r="H709" s="244"/>
      <c r="I709" s="244"/>
      <c r="J709" s="244"/>
      <c r="K709" s="244"/>
      <c r="L709" s="244"/>
      <c r="M709" s="244"/>
      <c r="N709" s="244"/>
      <c r="O709" s="244"/>
      <c r="P709" s="244"/>
    </row>
    <row r="710" spans="5:16">
      <c r="E710" s="244"/>
      <c r="F710" s="244"/>
      <c r="G710" s="244"/>
      <c r="H710" s="244"/>
      <c r="I710" s="244"/>
      <c r="J710" s="244"/>
      <c r="K710" s="244"/>
      <c r="L710" s="244"/>
      <c r="M710" s="244"/>
      <c r="N710" s="244"/>
      <c r="O710" s="244"/>
      <c r="P710" s="244"/>
    </row>
    <row r="711" spans="5:16">
      <c r="E711" s="244"/>
      <c r="F711" s="244"/>
      <c r="G711" s="244"/>
      <c r="H711" s="244"/>
      <c r="I711" s="244"/>
      <c r="J711" s="244"/>
      <c r="K711" s="244"/>
      <c r="L711" s="244"/>
      <c r="M711" s="244"/>
      <c r="N711" s="244"/>
      <c r="O711" s="244"/>
      <c r="P711" s="244"/>
    </row>
    <row r="712" spans="5:16">
      <c r="E712" s="244"/>
      <c r="F712" s="244"/>
      <c r="G712" s="244"/>
      <c r="H712" s="244"/>
      <c r="I712" s="244"/>
      <c r="J712" s="244"/>
      <c r="K712" s="244"/>
      <c r="L712" s="244"/>
      <c r="M712" s="244"/>
      <c r="N712" s="244"/>
      <c r="O712" s="244"/>
      <c r="P712" s="244"/>
    </row>
    <row r="713" spans="5:16">
      <c r="E713" s="244"/>
      <c r="F713" s="244"/>
      <c r="G713" s="244"/>
      <c r="H713" s="244"/>
      <c r="I713" s="244"/>
      <c r="J713" s="244"/>
      <c r="K713" s="244"/>
      <c r="L713" s="244"/>
      <c r="M713" s="244"/>
      <c r="N713" s="244"/>
      <c r="O713" s="244"/>
      <c r="P713" s="244"/>
    </row>
    <row r="714" spans="5:16">
      <c r="E714" s="244"/>
      <c r="F714" s="244"/>
      <c r="G714" s="244"/>
      <c r="H714" s="244"/>
      <c r="I714" s="244"/>
      <c r="J714" s="244"/>
      <c r="K714" s="244"/>
      <c r="L714" s="244"/>
      <c r="M714" s="244"/>
      <c r="N714" s="244"/>
      <c r="O714" s="244"/>
      <c r="P714" s="244"/>
    </row>
    <row r="715" spans="5:16">
      <c r="E715" s="244"/>
      <c r="F715" s="244"/>
      <c r="G715" s="244"/>
      <c r="H715" s="244"/>
      <c r="I715" s="244"/>
      <c r="J715" s="244"/>
      <c r="K715" s="244"/>
      <c r="L715" s="244"/>
      <c r="M715" s="244"/>
      <c r="N715" s="244"/>
      <c r="O715" s="244"/>
      <c r="P715" s="244"/>
    </row>
    <row r="716" spans="5:16">
      <c r="E716" s="244"/>
      <c r="F716" s="244"/>
      <c r="G716" s="244"/>
      <c r="H716" s="244"/>
      <c r="I716" s="244"/>
      <c r="J716" s="244"/>
      <c r="K716" s="244"/>
      <c r="L716" s="244"/>
      <c r="M716" s="244"/>
      <c r="N716" s="244"/>
      <c r="O716" s="244"/>
      <c r="P716" s="244"/>
    </row>
    <row r="717" spans="5:16">
      <c r="E717" s="244"/>
      <c r="F717" s="244"/>
      <c r="G717" s="244"/>
      <c r="H717" s="244"/>
      <c r="I717" s="244"/>
      <c r="J717" s="244"/>
      <c r="K717" s="244"/>
      <c r="L717" s="244"/>
      <c r="M717" s="244"/>
      <c r="N717" s="244"/>
      <c r="O717" s="244"/>
      <c r="P717" s="244"/>
    </row>
    <row r="718" spans="5:16">
      <c r="E718" s="244"/>
      <c r="F718" s="244"/>
      <c r="G718" s="244"/>
      <c r="H718" s="244"/>
      <c r="I718" s="244"/>
      <c r="J718" s="244"/>
      <c r="K718" s="244"/>
      <c r="L718" s="244"/>
      <c r="M718" s="244"/>
      <c r="N718" s="244"/>
      <c r="O718" s="244"/>
      <c r="P718" s="244"/>
    </row>
    <row r="719" spans="5:16">
      <c r="E719" s="244"/>
      <c r="F719" s="244"/>
      <c r="G719" s="244"/>
      <c r="H719" s="244"/>
      <c r="I719" s="244"/>
      <c r="J719" s="244"/>
      <c r="K719" s="244"/>
      <c r="L719" s="244"/>
      <c r="M719" s="244"/>
      <c r="N719" s="244"/>
      <c r="O719" s="244"/>
      <c r="P719" s="244"/>
    </row>
    <row r="720" spans="5:16">
      <c r="E720" s="244"/>
      <c r="F720" s="244"/>
      <c r="G720" s="244"/>
      <c r="H720" s="244"/>
      <c r="I720" s="244"/>
      <c r="J720" s="244"/>
      <c r="K720" s="244"/>
      <c r="L720" s="244"/>
      <c r="M720" s="244"/>
      <c r="N720" s="244"/>
      <c r="O720" s="244"/>
      <c r="P720" s="244"/>
    </row>
    <row r="721" spans="5:16">
      <c r="E721" s="244"/>
      <c r="F721" s="244"/>
      <c r="G721" s="244"/>
      <c r="H721" s="244"/>
      <c r="I721" s="244"/>
      <c r="J721" s="244"/>
      <c r="K721" s="244"/>
      <c r="L721" s="244"/>
      <c r="M721" s="244"/>
      <c r="N721" s="244"/>
      <c r="O721" s="244"/>
      <c r="P721" s="244"/>
    </row>
    <row r="722" spans="5:16">
      <c r="E722" s="244"/>
      <c r="F722" s="244"/>
      <c r="G722" s="244"/>
      <c r="H722" s="244"/>
      <c r="I722" s="244"/>
      <c r="J722" s="244"/>
      <c r="K722" s="244"/>
      <c r="L722" s="244"/>
      <c r="M722" s="244"/>
      <c r="N722" s="244"/>
      <c r="O722" s="244"/>
      <c r="P722" s="244"/>
    </row>
    <row r="723" spans="5:16">
      <c r="E723" s="244"/>
      <c r="F723" s="244"/>
      <c r="G723" s="244"/>
      <c r="H723" s="244"/>
      <c r="I723" s="244"/>
      <c r="J723" s="244"/>
      <c r="K723" s="244"/>
      <c r="L723" s="244"/>
      <c r="M723" s="244"/>
      <c r="N723" s="244"/>
      <c r="O723" s="244"/>
      <c r="P723" s="244"/>
    </row>
    <row r="724" spans="5:16">
      <c r="E724" s="244"/>
      <c r="F724" s="244"/>
      <c r="G724" s="244"/>
      <c r="H724" s="244"/>
      <c r="I724" s="244"/>
      <c r="J724" s="244"/>
      <c r="K724" s="244"/>
      <c r="L724" s="244"/>
      <c r="M724" s="244"/>
      <c r="N724" s="244"/>
      <c r="O724" s="244"/>
      <c r="P724" s="244"/>
    </row>
    <row r="725" spans="5:16">
      <c r="E725" s="244"/>
      <c r="F725" s="244"/>
      <c r="G725" s="244"/>
      <c r="H725" s="244"/>
      <c r="I725" s="244"/>
      <c r="J725" s="244"/>
      <c r="K725" s="244"/>
      <c r="L725" s="244"/>
      <c r="M725" s="244"/>
      <c r="N725" s="244"/>
      <c r="O725" s="244"/>
      <c r="P725" s="244"/>
    </row>
    <row r="726" spans="5:16">
      <c r="E726" s="244"/>
      <c r="F726" s="244"/>
      <c r="G726" s="244"/>
      <c r="H726" s="244"/>
      <c r="I726" s="244"/>
      <c r="J726" s="244"/>
      <c r="K726" s="244"/>
      <c r="L726" s="244"/>
      <c r="M726" s="244"/>
      <c r="N726" s="244"/>
      <c r="O726" s="244"/>
      <c r="P726" s="244"/>
    </row>
    <row r="727" spans="5:16">
      <c r="E727" s="244"/>
      <c r="F727" s="244"/>
      <c r="G727" s="244"/>
      <c r="H727" s="244"/>
      <c r="I727" s="244"/>
      <c r="J727" s="244"/>
      <c r="K727" s="244"/>
      <c r="L727" s="244"/>
      <c r="M727" s="244"/>
      <c r="N727" s="244"/>
      <c r="O727" s="244"/>
      <c r="P727" s="244"/>
    </row>
    <row r="728" spans="5:16">
      <c r="E728" s="244"/>
      <c r="F728" s="244"/>
      <c r="G728" s="244"/>
      <c r="H728" s="244"/>
      <c r="I728" s="244"/>
      <c r="J728" s="244"/>
      <c r="K728" s="244"/>
      <c r="L728" s="244"/>
      <c r="M728" s="244"/>
      <c r="N728" s="244"/>
      <c r="O728" s="244"/>
      <c r="P728" s="244"/>
    </row>
    <row r="729" spans="5:16">
      <c r="E729" s="244"/>
      <c r="F729" s="244"/>
      <c r="G729" s="244"/>
      <c r="H729" s="244"/>
      <c r="I729" s="244"/>
      <c r="J729" s="244"/>
      <c r="K729" s="244"/>
      <c r="L729" s="244"/>
      <c r="M729" s="244"/>
      <c r="N729" s="244"/>
      <c r="O729" s="244"/>
      <c r="P729" s="244"/>
    </row>
    <row r="730" spans="5:16">
      <c r="E730" s="244"/>
      <c r="F730" s="244"/>
      <c r="G730" s="244"/>
      <c r="H730" s="244"/>
      <c r="I730" s="244"/>
      <c r="J730" s="244"/>
      <c r="K730" s="244"/>
      <c r="L730" s="244"/>
      <c r="M730" s="244"/>
      <c r="N730" s="244"/>
      <c r="O730" s="244"/>
      <c r="P730" s="244"/>
    </row>
    <row r="731" spans="5:16">
      <c r="E731" s="244"/>
      <c r="F731" s="244"/>
      <c r="G731" s="244"/>
      <c r="H731" s="244"/>
      <c r="I731" s="244"/>
      <c r="J731" s="244"/>
      <c r="K731" s="244"/>
      <c r="L731" s="244"/>
      <c r="M731" s="244"/>
      <c r="N731" s="244"/>
      <c r="O731" s="244"/>
      <c r="P731" s="244"/>
    </row>
    <row r="732" spans="5:16">
      <c r="E732" s="244"/>
      <c r="F732" s="244"/>
      <c r="G732" s="244"/>
      <c r="H732" s="244"/>
      <c r="I732" s="244"/>
      <c r="J732" s="244"/>
      <c r="K732" s="244"/>
      <c r="L732" s="244"/>
      <c r="M732" s="244"/>
      <c r="N732" s="244"/>
      <c r="O732" s="244"/>
      <c r="P732" s="244"/>
    </row>
    <row r="733" spans="5:16">
      <c r="E733" s="244"/>
      <c r="F733" s="244"/>
      <c r="G733" s="244"/>
      <c r="H733" s="244"/>
      <c r="I733" s="244"/>
      <c r="J733" s="244"/>
      <c r="K733" s="244"/>
      <c r="L733" s="244"/>
      <c r="M733" s="244"/>
      <c r="N733" s="244"/>
      <c r="O733" s="244"/>
      <c r="P733" s="244"/>
    </row>
    <row r="734" spans="5:16">
      <c r="E734" s="244"/>
      <c r="F734" s="244"/>
      <c r="G734" s="244"/>
      <c r="H734" s="244"/>
      <c r="I734" s="244"/>
      <c r="J734" s="244"/>
      <c r="K734" s="244"/>
      <c r="L734" s="244"/>
      <c r="M734" s="244"/>
      <c r="N734" s="244"/>
      <c r="O734" s="244"/>
      <c r="P734" s="244"/>
    </row>
    <row r="735" spans="5:16">
      <c r="E735" s="244"/>
      <c r="F735" s="244"/>
      <c r="G735" s="244"/>
      <c r="H735" s="244"/>
      <c r="I735" s="244"/>
      <c r="J735" s="244"/>
      <c r="K735" s="244"/>
      <c r="L735" s="244"/>
      <c r="M735" s="244"/>
      <c r="N735" s="244"/>
      <c r="O735" s="244"/>
      <c r="P735" s="244"/>
    </row>
    <row r="736" spans="5:16">
      <c r="E736" s="244"/>
      <c r="F736" s="244"/>
      <c r="G736" s="244"/>
      <c r="H736" s="244"/>
      <c r="I736" s="244"/>
      <c r="J736" s="244"/>
      <c r="K736" s="244"/>
      <c r="L736" s="244"/>
      <c r="M736" s="244"/>
      <c r="N736" s="244"/>
      <c r="O736" s="244"/>
      <c r="P736" s="244"/>
    </row>
    <row r="737" spans="5:16">
      <c r="E737" s="244"/>
      <c r="F737" s="244"/>
      <c r="G737" s="244"/>
      <c r="H737" s="244"/>
      <c r="I737" s="244"/>
      <c r="J737" s="244"/>
      <c r="K737" s="244"/>
      <c r="L737" s="244"/>
      <c r="M737" s="244"/>
      <c r="N737" s="244"/>
      <c r="O737" s="244"/>
      <c r="P737" s="244"/>
    </row>
    <row r="738" spans="5:16">
      <c r="E738" s="244"/>
      <c r="F738" s="244"/>
      <c r="G738" s="244"/>
      <c r="H738" s="244"/>
      <c r="I738" s="244"/>
      <c r="J738" s="244"/>
      <c r="K738" s="244"/>
      <c r="L738" s="244"/>
      <c r="M738" s="244"/>
      <c r="N738" s="244"/>
      <c r="O738" s="244"/>
      <c r="P738" s="244"/>
    </row>
    <row r="739" spans="5:16">
      <c r="E739" s="244"/>
      <c r="F739" s="244"/>
      <c r="G739" s="244"/>
      <c r="H739" s="244"/>
      <c r="I739" s="244"/>
      <c r="J739" s="244"/>
      <c r="K739" s="244"/>
      <c r="L739" s="244"/>
      <c r="M739" s="244"/>
      <c r="N739" s="244"/>
      <c r="O739" s="244"/>
      <c r="P739" s="244"/>
    </row>
    <row r="740" spans="5:16">
      <c r="E740" s="244"/>
      <c r="F740" s="244"/>
      <c r="G740" s="244"/>
      <c r="H740" s="244"/>
      <c r="I740" s="244"/>
      <c r="J740" s="244"/>
      <c r="K740" s="244"/>
      <c r="L740" s="244"/>
      <c r="M740" s="244"/>
      <c r="N740" s="244"/>
      <c r="O740" s="244"/>
      <c r="P740" s="244"/>
    </row>
    <row r="741" spans="5:16">
      <c r="E741" s="244"/>
      <c r="F741" s="244"/>
      <c r="G741" s="244"/>
      <c r="H741" s="244"/>
      <c r="I741" s="244"/>
      <c r="J741" s="244"/>
      <c r="K741" s="244"/>
      <c r="L741" s="244"/>
      <c r="M741" s="244"/>
      <c r="N741" s="244"/>
      <c r="O741" s="244"/>
      <c r="P741" s="244"/>
    </row>
    <row r="742" spans="5:16">
      <c r="E742" s="244"/>
      <c r="F742" s="244"/>
      <c r="G742" s="244"/>
      <c r="H742" s="244"/>
      <c r="I742" s="244"/>
      <c r="J742" s="244"/>
      <c r="K742" s="244"/>
      <c r="L742" s="244"/>
      <c r="M742" s="244"/>
      <c r="N742" s="244"/>
      <c r="O742" s="244"/>
      <c r="P742" s="244"/>
    </row>
    <row r="743" spans="5:16">
      <c r="E743" s="244"/>
      <c r="F743" s="244"/>
      <c r="G743" s="244"/>
      <c r="H743" s="244"/>
      <c r="I743" s="244"/>
      <c r="J743" s="244"/>
      <c r="K743" s="244"/>
      <c r="L743" s="244"/>
      <c r="M743" s="244"/>
      <c r="N743" s="244"/>
      <c r="O743" s="244"/>
      <c r="P743" s="244"/>
    </row>
    <row r="744" spans="5:16">
      <c r="E744" s="244"/>
      <c r="F744" s="244"/>
      <c r="G744" s="244"/>
      <c r="H744" s="244"/>
      <c r="I744" s="244"/>
      <c r="J744" s="244"/>
      <c r="K744" s="244"/>
      <c r="L744" s="244"/>
      <c r="M744" s="244"/>
      <c r="N744" s="244"/>
      <c r="O744" s="244"/>
      <c r="P744" s="244"/>
    </row>
    <row r="745" spans="5:16">
      <c r="E745" s="244"/>
      <c r="F745" s="244"/>
      <c r="G745" s="244"/>
      <c r="H745" s="244"/>
      <c r="I745" s="244"/>
      <c r="J745" s="244"/>
      <c r="K745" s="244"/>
      <c r="L745" s="244"/>
      <c r="M745" s="244"/>
      <c r="N745" s="244"/>
      <c r="O745" s="244"/>
      <c r="P745" s="244"/>
    </row>
    <row r="746" spans="5:16">
      <c r="E746" s="244"/>
      <c r="F746" s="244"/>
      <c r="G746" s="244"/>
      <c r="H746" s="244"/>
      <c r="I746" s="244"/>
      <c r="J746" s="244"/>
      <c r="K746" s="244"/>
      <c r="L746" s="244"/>
      <c r="M746" s="244"/>
      <c r="N746" s="244"/>
      <c r="O746" s="244"/>
      <c r="P746" s="244"/>
    </row>
    <row r="747" spans="5:16">
      <c r="E747" s="244"/>
      <c r="F747" s="244"/>
      <c r="G747" s="244"/>
      <c r="H747" s="244"/>
      <c r="I747" s="244"/>
      <c r="J747" s="244"/>
      <c r="K747" s="244"/>
      <c r="L747" s="244"/>
      <c r="M747" s="244"/>
      <c r="N747" s="244"/>
      <c r="O747" s="244"/>
      <c r="P747" s="244"/>
    </row>
    <row r="748" spans="5:16">
      <c r="E748" s="244"/>
      <c r="F748" s="244"/>
      <c r="G748" s="244"/>
      <c r="H748" s="244"/>
      <c r="I748" s="244"/>
      <c r="J748" s="244"/>
      <c r="K748" s="244"/>
      <c r="L748" s="244"/>
      <c r="M748" s="244"/>
      <c r="N748" s="244"/>
      <c r="O748" s="244"/>
      <c r="P748" s="244"/>
    </row>
    <row r="749" spans="5:16">
      <c r="E749" s="244"/>
      <c r="F749" s="244"/>
      <c r="G749" s="244"/>
      <c r="H749" s="244"/>
      <c r="I749" s="244"/>
      <c r="J749" s="244"/>
      <c r="K749" s="244"/>
      <c r="L749" s="244"/>
      <c r="M749" s="244"/>
      <c r="N749" s="244"/>
      <c r="O749" s="244"/>
      <c r="P749" s="244"/>
    </row>
    <row r="750" spans="5:16">
      <c r="E750" s="244"/>
      <c r="F750" s="244"/>
      <c r="G750" s="244"/>
      <c r="H750" s="244"/>
      <c r="I750" s="244"/>
      <c r="J750" s="244"/>
      <c r="K750" s="244"/>
      <c r="L750" s="244"/>
      <c r="M750" s="244"/>
      <c r="N750" s="244"/>
      <c r="O750" s="244"/>
      <c r="P750" s="244"/>
    </row>
    <row r="751" spans="5:16">
      <c r="E751" s="244"/>
      <c r="F751" s="244"/>
      <c r="G751" s="244"/>
      <c r="H751" s="244"/>
      <c r="I751" s="244"/>
      <c r="J751" s="244"/>
      <c r="K751" s="244"/>
      <c r="L751" s="244"/>
      <c r="M751" s="244"/>
      <c r="N751" s="244"/>
      <c r="O751" s="244"/>
      <c r="P751" s="244"/>
    </row>
    <row r="752" spans="5:16">
      <c r="E752" s="244"/>
      <c r="F752" s="244"/>
      <c r="G752" s="244"/>
      <c r="H752" s="244"/>
      <c r="I752" s="244"/>
      <c r="J752" s="244"/>
      <c r="K752" s="244"/>
      <c r="L752" s="244"/>
      <c r="M752" s="244"/>
      <c r="N752" s="244"/>
      <c r="O752" s="244"/>
      <c r="P752" s="244"/>
    </row>
    <row r="753" spans="5:16">
      <c r="E753" s="244"/>
      <c r="F753" s="244"/>
      <c r="G753" s="244"/>
      <c r="H753" s="244"/>
      <c r="I753" s="244"/>
      <c r="J753" s="244"/>
      <c r="K753" s="244"/>
      <c r="L753" s="244"/>
      <c r="M753" s="244"/>
      <c r="N753" s="244"/>
      <c r="O753" s="244"/>
      <c r="P753" s="244"/>
    </row>
    <row r="754" spans="5:16">
      <c r="E754" s="244"/>
      <c r="F754" s="244"/>
      <c r="G754" s="244"/>
      <c r="H754" s="244"/>
      <c r="I754" s="244"/>
      <c r="J754" s="244"/>
      <c r="K754" s="244"/>
      <c r="L754" s="244"/>
      <c r="M754" s="244"/>
      <c r="N754" s="244"/>
      <c r="O754" s="244"/>
      <c r="P754" s="244"/>
    </row>
    <row r="755" spans="5:16">
      <c r="E755" s="244"/>
      <c r="F755" s="244"/>
      <c r="G755" s="244"/>
      <c r="H755" s="244"/>
      <c r="I755" s="244"/>
      <c r="J755" s="244"/>
      <c r="K755" s="244"/>
      <c r="L755" s="244"/>
      <c r="M755" s="244"/>
      <c r="N755" s="244"/>
      <c r="O755" s="244"/>
      <c r="P755" s="244"/>
    </row>
    <row r="756" spans="5:16">
      <c r="E756" s="244"/>
      <c r="F756" s="244"/>
      <c r="G756" s="244"/>
      <c r="H756" s="244"/>
      <c r="I756" s="244"/>
      <c r="J756" s="244"/>
      <c r="K756" s="244"/>
      <c r="L756" s="244"/>
      <c r="M756" s="244"/>
      <c r="N756" s="244"/>
      <c r="O756" s="244"/>
      <c r="P756" s="244"/>
    </row>
    <row r="757" spans="5:16">
      <c r="E757" s="244"/>
      <c r="F757" s="244"/>
      <c r="G757" s="244"/>
      <c r="H757" s="244"/>
      <c r="I757" s="244"/>
      <c r="J757" s="244"/>
      <c r="K757" s="244"/>
      <c r="L757" s="244"/>
      <c r="M757" s="244"/>
      <c r="N757" s="244"/>
      <c r="O757" s="244"/>
      <c r="P757" s="244"/>
    </row>
    <row r="758" spans="5:16">
      <c r="E758" s="244"/>
      <c r="F758" s="244"/>
      <c r="G758" s="244"/>
      <c r="H758" s="244"/>
      <c r="I758" s="244"/>
      <c r="J758" s="244"/>
      <c r="K758" s="244"/>
      <c r="L758" s="244"/>
      <c r="M758" s="244"/>
      <c r="N758" s="244"/>
      <c r="O758" s="244"/>
      <c r="P758" s="244"/>
    </row>
    <row r="759" spans="5:16">
      <c r="E759" s="244"/>
      <c r="F759" s="244"/>
      <c r="G759" s="244"/>
      <c r="H759" s="244"/>
      <c r="I759" s="244"/>
      <c r="J759" s="244"/>
      <c r="K759" s="244"/>
      <c r="L759" s="244"/>
      <c r="M759" s="244"/>
      <c r="N759" s="244"/>
      <c r="O759" s="244"/>
      <c r="P759" s="244"/>
    </row>
    <row r="760" spans="5:16">
      <c r="E760" s="244"/>
      <c r="F760" s="244"/>
      <c r="G760" s="244"/>
      <c r="H760" s="244"/>
      <c r="I760" s="244"/>
      <c r="J760" s="244"/>
      <c r="K760" s="244"/>
      <c r="L760" s="244"/>
      <c r="M760" s="244"/>
      <c r="N760" s="244"/>
      <c r="O760" s="244"/>
      <c r="P760" s="244"/>
    </row>
    <row r="761" spans="5:16">
      <c r="E761" s="244"/>
      <c r="F761" s="244"/>
      <c r="G761" s="244"/>
      <c r="H761" s="244"/>
      <c r="I761" s="244"/>
      <c r="J761" s="244"/>
      <c r="K761" s="244"/>
      <c r="L761" s="244"/>
      <c r="M761" s="244"/>
      <c r="N761" s="244"/>
      <c r="O761" s="244"/>
      <c r="P761" s="244"/>
    </row>
    <row r="762" spans="5:16">
      <c r="E762" s="244"/>
      <c r="F762" s="244"/>
      <c r="G762" s="244"/>
      <c r="H762" s="244"/>
      <c r="I762" s="244"/>
      <c r="J762" s="244"/>
      <c r="K762" s="244"/>
      <c r="L762" s="244"/>
      <c r="M762" s="244"/>
      <c r="N762" s="244"/>
      <c r="O762" s="244"/>
      <c r="P762" s="244"/>
    </row>
    <row r="763" spans="5:16">
      <c r="E763" s="244"/>
      <c r="F763" s="244"/>
      <c r="G763" s="244"/>
      <c r="H763" s="244"/>
      <c r="I763" s="244"/>
      <c r="J763" s="244"/>
      <c r="K763" s="244"/>
      <c r="L763" s="244"/>
      <c r="M763" s="244"/>
      <c r="N763" s="244"/>
      <c r="O763" s="244"/>
      <c r="P763" s="244"/>
    </row>
    <row r="764" spans="5:16">
      <c r="E764" s="244"/>
      <c r="F764" s="244"/>
      <c r="G764" s="244"/>
      <c r="H764" s="244"/>
      <c r="I764" s="244"/>
      <c r="J764" s="244"/>
      <c r="K764" s="244"/>
      <c r="L764" s="244"/>
      <c r="M764" s="244"/>
      <c r="N764" s="244"/>
      <c r="O764" s="244"/>
      <c r="P764" s="244"/>
    </row>
    <row r="765" spans="5:16">
      <c r="E765" s="244"/>
      <c r="F765" s="244"/>
      <c r="G765" s="244"/>
      <c r="H765" s="244"/>
      <c r="I765" s="244"/>
      <c r="J765" s="244"/>
      <c r="K765" s="244"/>
      <c r="L765" s="244"/>
      <c r="M765" s="244"/>
      <c r="N765" s="244"/>
      <c r="O765" s="244"/>
      <c r="P765" s="244"/>
    </row>
    <row r="766" spans="5:16">
      <c r="E766" s="244"/>
      <c r="F766" s="244"/>
      <c r="G766" s="244"/>
      <c r="H766" s="244"/>
      <c r="I766" s="244"/>
      <c r="J766" s="244"/>
      <c r="K766" s="244"/>
      <c r="L766" s="244"/>
      <c r="M766" s="244"/>
      <c r="N766" s="244"/>
      <c r="O766" s="244"/>
      <c r="P766" s="244"/>
    </row>
    <row r="767" spans="5:16">
      <c r="E767" s="244"/>
      <c r="F767" s="244"/>
      <c r="G767" s="244"/>
      <c r="H767" s="244"/>
      <c r="I767" s="244"/>
      <c r="J767" s="244"/>
      <c r="K767" s="244"/>
      <c r="L767" s="244"/>
      <c r="M767" s="244"/>
      <c r="N767" s="244"/>
      <c r="O767" s="244"/>
      <c r="P767" s="244"/>
    </row>
    <row r="768" spans="5:16">
      <c r="E768" s="244"/>
      <c r="F768" s="244"/>
      <c r="G768" s="244"/>
      <c r="H768" s="244"/>
      <c r="I768" s="244"/>
      <c r="J768" s="244"/>
      <c r="K768" s="244"/>
      <c r="L768" s="244"/>
      <c r="M768" s="244"/>
      <c r="N768" s="244"/>
      <c r="O768" s="244"/>
      <c r="P768" s="244"/>
    </row>
    <row r="769" spans="5:16">
      <c r="E769" s="244"/>
      <c r="F769" s="244"/>
      <c r="G769" s="244"/>
      <c r="H769" s="244"/>
      <c r="I769" s="244"/>
      <c r="J769" s="244"/>
      <c r="K769" s="244"/>
      <c r="L769" s="244"/>
      <c r="M769" s="244"/>
      <c r="N769" s="244"/>
      <c r="O769" s="244"/>
      <c r="P769" s="244"/>
    </row>
    <row r="770" spans="5:16">
      <c r="E770" s="244"/>
      <c r="F770" s="244"/>
      <c r="G770" s="244"/>
      <c r="H770" s="244"/>
      <c r="I770" s="244"/>
      <c r="J770" s="244"/>
      <c r="K770" s="244"/>
      <c r="L770" s="244"/>
      <c r="M770" s="244"/>
      <c r="N770" s="244"/>
      <c r="O770" s="244"/>
      <c r="P770" s="244"/>
    </row>
    <row r="771" spans="5:16">
      <c r="E771" s="244"/>
      <c r="F771" s="244"/>
      <c r="G771" s="244"/>
      <c r="H771" s="244"/>
      <c r="I771" s="244"/>
      <c r="J771" s="244"/>
      <c r="K771" s="244"/>
      <c r="L771" s="244"/>
      <c r="M771" s="244"/>
      <c r="N771" s="244"/>
      <c r="O771" s="244"/>
      <c r="P771" s="244"/>
    </row>
    <row r="772" spans="5:16">
      <c r="E772" s="244"/>
      <c r="F772" s="244"/>
      <c r="G772" s="244"/>
      <c r="H772" s="244"/>
      <c r="I772" s="244"/>
      <c r="J772" s="244"/>
      <c r="K772" s="244"/>
      <c r="L772" s="244"/>
      <c r="M772" s="244"/>
      <c r="N772" s="244"/>
      <c r="O772" s="244"/>
      <c r="P772" s="244"/>
    </row>
    <row r="773" spans="5:16">
      <c r="E773" s="244"/>
      <c r="F773" s="244"/>
      <c r="G773" s="244"/>
      <c r="H773" s="244"/>
      <c r="I773" s="244"/>
      <c r="J773" s="244"/>
      <c r="K773" s="244"/>
      <c r="L773" s="244"/>
      <c r="M773" s="244"/>
      <c r="N773" s="244"/>
      <c r="O773" s="244"/>
      <c r="P773" s="244"/>
    </row>
    <row r="774" spans="5:16">
      <c r="E774" s="244"/>
      <c r="F774" s="244"/>
      <c r="G774" s="244"/>
      <c r="H774" s="244"/>
      <c r="I774" s="244"/>
      <c r="J774" s="244"/>
      <c r="K774" s="244"/>
      <c r="L774" s="244"/>
      <c r="M774" s="244"/>
      <c r="N774" s="244"/>
      <c r="O774" s="244"/>
      <c r="P774" s="244"/>
    </row>
    <row r="775" spans="5:16">
      <c r="E775" s="244"/>
      <c r="F775" s="244"/>
      <c r="G775" s="244"/>
      <c r="H775" s="244"/>
      <c r="I775" s="244"/>
      <c r="J775" s="244"/>
      <c r="K775" s="244"/>
      <c r="L775" s="244"/>
      <c r="M775" s="244"/>
      <c r="N775" s="244"/>
      <c r="O775" s="244"/>
      <c r="P775" s="244"/>
    </row>
    <row r="776" spans="5:16">
      <c r="E776" s="244"/>
      <c r="F776" s="244"/>
      <c r="G776" s="244"/>
      <c r="H776" s="244"/>
      <c r="I776" s="244"/>
      <c r="J776" s="244"/>
      <c r="K776" s="244"/>
      <c r="L776" s="244"/>
      <c r="M776" s="244"/>
      <c r="N776" s="244"/>
      <c r="O776" s="244"/>
      <c r="P776" s="244"/>
    </row>
    <row r="777" spans="5:16">
      <c r="E777" s="244"/>
      <c r="F777" s="244"/>
      <c r="G777" s="244"/>
      <c r="H777" s="244"/>
      <c r="I777" s="244"/>
      <c r="J777" s="244"/>
      <c r="K777" s="244"/>
      <c r="L777" s="244"/>
      <c r="M777" s="244"/>
      <c r="N777" s="244"/>
      <c r="O777" s="244"/>
      <c r="P777" s="244"/>
    </row>
    <row r="778" spans="5:16">
      <c r="E778" s="244"/>
      <c r="F778" s="244"/>
      <c r="G778" s="244"/>
      <c r="H778" s="244"/>
      <c r="I778" s="244"/>
      <c r="J778" s="244"/>
      <c r="K778" s="244"/>
      <c r="L778" s="244"/>
      <c r="M778" s="244"/>
      <c r="N778" s="244"/>
      <c r="O778" s="244"/>
      <c r="P778" s="244"/>
    </row>
    <row r="779" spans="5:16">
      <c r="E779" s="244"/>
      <c r="F779" s="244"/>
      <c r="G779" s="244"/>
      <c r="H779" s="244"/>
      <c r="I779" s="244"/>
      <c r="J779" s="244"/>
      <c r="K779" s="244"/>
      <c r="L779" s="244"/>
      <c r="M779" s="244"/>
      <c r="N779" s="244"/>
      <c r="O779" s="244"/>
      <c r="P779" s="244"/>
    </row>
    <row r="780" spans="5:16">
      <c r="E780" s="244"/>
      <c r="F780" s="244"/>
      <c r="G780" s="244"/>
      <c r="H780" s="244"/>
      <c r="I780" s="244"/>
      <c r="J780" s="244"/>
      <c r="K780" s="244"/>
      <c r="L780" s="244"/>
      <c r="M780" s="244"/>
      <c r="N780" s="244"/>
      <c r="O780" s="244"/>
      <c r="P780" s="244"/>
    </row>
    <row r="781" spans="5:16">
      <c r="E781" s="244"/>
      <c r="F781" s="244"/>
      <c r="G781" s="244"/>
      <c r="H781" s="244"/>
      <c r="I781" s="244"/>
      <c r="J781" s="244"/>
      <c r="K781" s="244"/>
      <c r="L781" s="244"/>
      <c r="M781" s="244"/>
      <c r="N781" s="244"/>
      <c r="O781" s="244"/>
      <c r="P781" s="244"/>
    </row>
    <row r="782" spans="5:16">
      <c r="E782" s="244"/>
      <c r="F782" s="244"/>
      <c r="G782" s="244"/>
      <c r="H782" s="244"/>
      <c r="I782" s="244"/>
      <c r="J782" s="244"/>
      <c r="K782" s="244"/>
      <c r="L782" s="244"/>
      <c r="M782" s="244"/>
      <c r="N782" s="244"/>
      <c r="O782" s="244"/>
      <c r="P782" s="244"/>
    </row>
    <row r="783" spans="5:16">
      <c r="E783" s="244"/>
      <c r="F783" s="244"/>
      <c r="G783" s="244"/>
      <c r="H783" s="244"/>
      <c r="I783" s="244"/>
      <c r="J783" s="244"/>
      <c r="K783" s="244"/>
      <c r="L783" s="244"/>
      <c r="M783" s="244"/>
      <c r="N783" s="244"/>
      <c r="O783" s="244"/>
      <c r="P783" s="244"/>
    </row>
    <row r="784" spans="5:16">
      <c r="E784" s="244"/>
      <c r="F784" s="244"/>
      <c r="G784" s="244"/>
      <c r="H784" s="244"/>
      <c r="I784" s="244"/>
      <c r="J784" s="244"/>
      <c r="K784" s="244"/>
      <c r="L784" s="244"/>
      <c r="M784" s="244"/>
      <c r="N784" s="244"/>
      <c r="O784" s="244"/>
      <c r="P784" s="244"/>
    </row>
    <row r="785" spans="5:16">
      <c r="E785" s="244"/>
      <c r="F785" s="244"/>
      <c r="G785" s="244"/>
      <c r="H785" s="244"/>
      <c r="I785" s="244"/>
      <c r="J785" s="244"/>
      <c r="K785" s="244"/>
      <c r="L785" s="244"/>
      <c r="M785" s="244"/>
      <c r="N785" s="244"/>
      <c r="O785" s="244"/>
      <c r="P785" s="244"/>
    </row>
    <row r="786" spans="5:16">
      <c r="E786" s="244"/>
      <c r="F786" s="244"/>
      <c r="G786" s="244"/>
      <c r="H786" s="244"/>
      <c r="I786" s="244"/>
      <c r="J786" s="244"/>
      <c r="K786" s="244"/>
      <c r="L786" s="244"/>
      <c r="M786" s="244"/>
      <c r="N786" s="244"/>
      <c r="O786" s="244"/>
      <c r="P786" s="244"/>
    </row>
    <row r="787" spans="5:16">
      <c r="E787" s="244"/>
      <c r="F787" s="244"/>
      <c r="G787" s="244"/>
      <c r="H787" s="244"/>
      <c r="I787" s="244"/>
      <c r="J787" s="244"/>
      <c r="K787" s="244"/>
      <c r="L787" s="244"/>
      <c r="M787" s="244"/>
      <c r="N787" s="244"/>
      <c r="O787" s="244"/>
      <c r="P787" s="244"/>
    </row>
    <row r="788" spans="5:16">
      <c r="E788" s="244"/>
      <c r="F788" s="244"/>
      <c r="G788" s="244"/>
      <c r="H788" s="244"/>
      <c r="I788" s="244"/>
      <c r="J788" s="244"/>
      <c r="K788" s="244"/>
      <c r="L788" s="244"/>
      <c r="M788" s="244"/>
      <c r="N788" s="244"/>
      <c r="O788" s="244"/>
      <c r="P788" s="244"/>
    </row>
    <row r="789" spans="5:16">
      <c r="E789" s="244"/>
      <c r="F789" s="244"/>
      <c r="G789" s="244"/>
      <c r="H789" s="244"/>
      <c r="I789" s="244"/>
      <c r="J789" s="244"/>
      <c r="K789" s="244"/>
      <c r="L789" s="244"/>
      <c r="M789" s="244"/>
      <c r="N789" s="244"/>
      <c r="O789" s="244"/>
      <c r="P789" s="244"/>
    </row>
    <row r="790" spans="5:16">
      <c r="E790" s="244"/>
      <c r="F790" s="244"/>
      <c r="G790" s="244"/>
      <c r="H790" s="244"/>
      <c r="I790" s="244"/>
      <c r="J790" s="244"/>
      <c r="K790" s="244"/>
      <c r="L790" s="244"/>
      <c r="M790" s="244"/>
      <c r="N790" s="244"/>
      <c r="O790" s="244"/>
      <c r="P790" s="244"/>
    </row>
    <row r="791" spans="5:16">
      <c r="E791" s="244"/>
      <c r="F791" s="244"/>
      <c r="G791" s="244"/>
      <c r="H791" s="244"/>
      <c r="I791" s="244"/>
      <c r="J791" s="244"/>
      <c r="K791" s="244"/>
      <c r="L791" s="244"/>
      <c r="M791" s="244"/>
      <c r="N791" s="244"/>
      <c r="O791" s="244"/>
      <c r="P791" s="244"/>
    </row>
    <row r="792" spans="5:16">
      <c r="E792" s="244"/>
      <c r="F792" s="244"/>
      <c r="G792" s="244"/>
      <c r="H792" s="244"/>
      <c r="I792" s="244"/>
      <c r="J792" s="244"/>
      <c r="K792" s="244"/>
      <c r="L792" s="244"/>
      <c r="M792" s="244"/>
      <c r="N792" s="244"/>
      <c r="O792" s="244"/>
      <c r="P792" s="244"/>
    </row>
    <row r="793" spans="5:16">
      <c r="E793" s="244"/>
      <c r="F793" s="244"/>
      <c r="G793" s="244"/>
      <c r="H793" s="244"/>
      <c r="I793" s="244"/>
      <c r="J793" s="244"/>
      <c r="K793" s="244"/>
      <c r="L793" s="244"/>
      <c r="M793" s="244"/>
      <c r="N793" s="244"/>
      <c r="O793" s="244"/>
      <c r="P793" s="244"/>
    </row>
    <row r="794" spans="5:16">
      <c r="E794" s="244"/>
      <c r="F794" s="244"/>
      <c r="G794" s="244"/>
      <c r="H794" s="244"/>
      <c r="I794" s="244"/>
      <c r="J794" s="244"/>
      <c r="K794" s="244"/>
      <c r="L794" s="244"/>
      <c r="M794" s="244"/>
      <c r="N794" s="244"/>
      <c r="O794" s="244"/>
      <c r="P794" s="244"/>
    </row>
    <row r="795" spans="5:16">
      <c r="E795" s="244"/>
      <c r="F795" s="244"/>
      <c r="G795" s="244"/>
      <c r="H795" s="244"/>
      <c r="I795" s="244"/>
      <c r="J795" s="244"/>
      <c r="K795" s="244"/>
      <c r="L795" s="244"/>
      <c r="M795" s="244"/>
      <c r="N795" s="244"/>
      <c r="O795" s="244"/>
      <c r="P795" s="244"/>
    </row>
    <row r="796" spans="5:16">
      <c r="E796" s="244"/>
      <c r="F796" s="244"/>
      <c r="G796" s="244"/>
      <c r="H796" s="244"/>
      <c r="I796" s="244"/>
      <c r="J796" s="244"/>
      <c r="K796" s="244"/>
      <c r="L796" s="244"/>
      <c r="M796" s="244"/>
      <c r="N796" s="244"/>
      <c r="O796" s="244"/>
      <c r="P796" s="244"/>
    </row>
    <row r="797" spans="5:16">
      <c r="E797" s="244"/>
      <c r="F797" s="244"/>
      <c r="G797" s="244"/>
      <c r="H797" s="244"/>
      <c r="I797" s="244"/>
      <c r="J797" s="244"/>
      <c r="K797" s="244"/>
      <c r="L797" s="244"/>
      <c r="M797" s="244"/>
      <c r="N797" s="244"/>
      <c r="O797" s="244"/>
      <c r="P797" s="244"/>
    </row>
    <row r="798" spans="5:16">
      <c r="E798" s="244"/>
      <c r="F798" s="244"/>
      <c r="G798" s="244"/>
      <c r="H798" s="244"/>
      <c r="I798" s="244"/>
      <c r="J798" s="244"/>
      <c r="K798" s="244"/>
      <c r="L798" s="244"/>
      <c r="M798" s="244"/>
      <c r="N798" s="244"/>
      <c r="O798" s="244"/>
      <c r="P798" s="244"/>
    </row>
    <row r="799" spans="5:16">
      <c r="E799" s="244"/>
      <c r="F799" s="244"/>
      <c r="G799" s="244"/>
      <c r="H799" s="244"/>
      <c r="I799" s="244"/>
      <c r="J799" s="244"/>
      <c r="K799" s="244"/>
      <c r="L799" s="244"/>
      <c r="M799" s="244"/>
      <c r="N799" s="244"/>
      <c r="O799" s="244"/>
      <c r="P799" s="244"/>
    </row>
    <row r="800" spans="5:16">
      <c r="E800" s="244"/>
      <c r="F800" s="244"/>
      <c r="G800" s="244"/>
      <c r="H800" s="244"/>
      <c r="I800" s="244"/>
      <c r="J800" s="244"/>
      <c r="K800" s="244"/>
      <c r="L800" s="244"/>
      <c r="M800" s="244"/>
      <c r="N800" s="244"/>
      <c r="O800" s="244"/>
      <c r="P800" s="244"/>
    </row>
    <row r="801" spans="5:16">
      <c r="E801" s="244"/>
      <c r="F801" s="244"/>
      <c r="G801" s="244"/>
      <c r="H801" s="244"/>
      <c r="I801" s="244"/>
      <c r="J801" s="244"/>
      <c r="K801" s="244"/>
      <c r="L801" s="244"/>
      <c r="M801" s="244"/>
      <c r="N801" s="244"/>
      <c r="O801" s="244"/>
      <c r="P801" s="244"/>
    </row>
    <row r="802" spans="5:16">
      <c r="E802" s="244"/>
      <c r="F802" s="244"/>
      <c r="G802" s="244"/>
      <c r="H802" s="244"/>
      <c r="I802" s="244"/>
      <c r="J802" s="244"/>
      <c r="K802" s="244"/>
      <c r="L802" s="244"/>
      <c r="M802" s="244"/>
      <c r="N802" s="244"/>
      <c r="O802" s="244"/>
      <c r="P802" s="244"/>
    </row>
    <row r="803" spans="5:16">
      <c r="E803" s="244"/>
      <c r="F803" s="244"/>
      <c r="G803" s="244"/>
      <c r="H803" s="244"/>
      <c r="I803" s="244"/>
      <c r="J803" s="244"/>
      <c r="K803" s="244"/>
      <c r="L803" s="244"/>
      <c r="M803" s="244"/>
      <c r="N803" s="244"/>
      <c r="O803" s="244"/>
      <c r="P803" s="244"/>
    </row>
    <row r="804" spans="5:16">
      <c r="E804" s="244"/>
      <c r="F804" s="244"/>
      <c r="G804" s="244"/>
      <c r="H804" s="244"/>
      <c r="I804" s="244"/>
      <c r="J804" s="244"/>
      <c r="K804" s="244"/>
      <c r="L804" s="244"/>
      <c r="M804" s="244"/>
      <c r="N804" s="244"/>
      <c r="O804" s="244"/>
      <c r="P804" s="244"/>
    </row>
    <row r="805" spans="5:16">
      <c r="E805" s="244"/>
      <c r="F805" s="244"/>
      <c r="G805" s="244"/>
      <c r="H805" s="244"/>
      <c r="I805" s="244"/>
      <c r="J805" s="244"/>
      <c r="K805" s="244"/>
      <c r="L805" s="244"/>
      <c r="M805" s="244"/>
      <c r="N805" s="244"/>
      <c r="O805" s="244"/>
      <c r="P805" s="244"/>
    </row>
    <row r="806" spans="5:16">
      <c r="E806" s="244"/>
      <c r="F806" s="244"/>
      <c r="G806" s="244"/>
      <c r="H806" s="244"/>
      <c r="I806" s="244"/>
      <c r="J806" s="244"/>
      <c r="K806" s="244"/>
      <c r="L806" s="244"/>
      <c r="M806" s="244"/>
      <c r="N806" s="244"/>
      <c r="O806" s="244"/>
      <c r="P806" s="244"/>
    </row>
    <row r="807" spans="5:16">
      <c r="E807" s="244"/>
      <c r="F807" s="244"/>
      <c r="G807" s="244"/>
      <c r="H807" s="244"/>
      <c r="I807" s="244"/>
      <c r="J807" s="244"/>
      <c r="K807" s="244"/>
      <c r="L807" s="244"/>
      <c r="M807" s="244"/>
      <c r="N807" s="244"/>
      <c r="O807" s="244"/>
      <c r="P807" s="244"/>
    </row>
    <row r="808" spans="5:16">
      <c r="E808" s="244"/>
      <c r="F808" s="244"/>
      <c r="G808" s="244"/>
      <c r="H808" s="244"/>
      <c r="I808" s="244"/>
      <c r="J808" s="244"/>
      <c r="K808" s="244"/>
      <c r="L808" s="244"/>
      <c r="M808" s="244"/>
      <c r="N808" s="244"/>
      <c r="O808" s="244"/>
      <c r="P808" s="244"/>
    </row>
    <row r="809" spans="5:16">
      <c r="E809" s="244"/>
      <c r="F809" s="244"/>
      <c r="G809" s="244"/>
      <c r="H809" s="244"/>
      <c r="I809" s="244"/>
      <c r="J809" s="244"/>
      <c r="K809" s="244"/>
      <c r="L809" s="244"/>
      <c r="M809" s="244"/>
      <c r="N809" s="244"/>
      <c r="O809" s="244"/>
      <c r="P809" s="244"/>
    </row>
    <row r="810" spans="5:16">
      <c r="E810" s="244"/>
      <c r="F810" s="244"/>
      <c r="G810" s="244"/>
      <c r="H810" s="244"/>
      <c r="I810" s="244"/>
      <c r="J810" s="244"/>
      <c r="K810" s="244"/>
      <c r="L810" s="244"/>
      <c r="M810" s="244"/>
      <c r="N810" s="244"/>
      <c r="O810" s="244"/>
      <c r="P810" s="244"/>
    </row>
    <row r="811" spans="5:16">
      <c r="E811" s="244"/>
      <c r="F811" s="244"/>
      <c r="G811" s="244"/>
      <c r="H811" s="244"/>
      <c r="I811" s="244"/>
      <c r="J811" s="244"/>
      <c r="K811" s="244"/>
      <c r="L811" s="244"/>
      <c r="M811" s="244"/>
      <c r="N811" s="244"/>
      <c r="O811" s="244"/>
      <c r="P811" s="244"/>
    </row>
    <row r="812" spans="5:16">
      <c r="E812" s="244"/>
      <c r="F812" s="244"/>
      <c r="G812" s="244"/>
      <c r="H812" s="244"/>
      <c r="I812" s="244"/>
      <c r="J812" s="244"/>
      <c r="K812" s="244"/>
      <c r="L812" s="244"/>
      <c r="M812" s="244"/>
      <c r="N812" s="244"/>
      <c r="O812" s="244"/>
      <c r="P812" s="244"/>
    </row>
    <row r="813" spans="5:16">
      <c r="E813" s="244"/>
      <c r="F813" s="244"/>
      <c r="G813" s="244"/>
      <c r="H813" s="244"/>
      <c r="I813" s="244"/>
      <c r="J813" s="244"/>
      <c r="K813" s="244"/>
      <c r="L813" s="244"/>
      <c r="M813" s="244"/>
      <c r="N813" s="244"/>
      <c r="O813" s="244"/>
      <c r="P813" s="244"/>
    </row>
    <row r="814" spans="5:16">
      <c r="E814" s="244"/>
      <c r="F814" s="244"/>
      <c r="G814" s="244"/>
      <c r="H814" s="244"/>
      <c r="I814" s="244"/>
      <c r="J814" s="244"/>
      <c r="K814" s="244"/>
      <c r="L814" s="244"/>
      <c r="M814" s="244"/>
      <c r="N814" s="244"/>
      <c r="O814" s="244"/>
      <c r="P814" s="244"/>
    </row>
    <row r="815" spans="5:16">
      <c r="E815" s="244"/>
      <c r="F815" s="244"/>
      <c r="G815" s="244"/>
      <c r="H815" s="244"/>
      <c r="I815" s="244"/>
      <c r="J815" s="244"/>
      <c r="K815" s="244"/>
      <c r="L815" s="244"/>
      <c r="M815" s="244"/>
      <c r="N815" s="244"/>
      <c r="O815" s="244"/>
      <c r="P815" s="244"/>
    </row>
    <row r="816" spans="5:16">
      <c r="E816" s="244"/>
      <c r="F816" s="244"/>
      <c r="G816" s="244"/>
      <c r="H816" s="244"/>
      <c r="I816" s="244"/>
      <c r="J816" s="244"/>
      <c r="K816" s="244"/>
      <c r="L816" s="244"/>
      <c r="M816" s="244"/>
      <c r="N816" s="244"/>
      <c r="O816" s="244"/>
      <c r="P816" s="244"/>
    </row>
    <row r="817" spans="5:16">
      <c r="E817" s="244"/>
      <c r="F817" s="244"/>
      <c r="G817" s="244"/>
      <c r="H817" s="244"/>
      <c r="I817" s="244"/>
      <c r="J817" s="244"/>
      <c r="K817" s="244"/>
      <c r="L817" s="244"/>
      <c r="M817" s="244"/>
      <c r="N817" s="244"/>
      <c r="O817" s="244"/>
      <c r="P817" s="244"/>
    </row>
    <row r="818" spans="5:16">
      <c r="E818" s="244"/>
      <c r="F818" s="244"/>
      <c r="G818" s="244"/>
      <c r="H818" s="244"/>
      <c r="I818" s="244"/>
      <c r="J818" s="244"/>
      <c r="K818" s="244"/>
      <c r="L818" s="244"/>
      <c r="M818" s="244"/>
      <c r="N818" s="244"/>
      <c r="O818" s="244"/>
      <c r="P818" s="244"/>
    </row>
    <row r="819" spans="5:16">
      <c r="E819" s="244"/>
      <c r="F819" s="244"/>
      <c r="G819" s="244"/>
      <c r="H819" s="244"/>
      <c r="I819" s="244"/>
      <c r="J819" s="244"/>
      <c r="K819" s="244"/>
      <c r="L819" s="244"/>
      <c r="M819" s="244"/>
      <c r="N819" s="244"/>
      <c r="O819" s="244"/>
      <c r="P819" s="244"/>
    </row>
    <row r="820" spans="5:16">
      <c r="E820" s="244"/>
      <c r="F820" s="244"/>
      <c r="G820" s="244"/>
      <c r="H820" s="244"/>
      <c r="I820" s="244"/>
      <c r="J820" s="244"/>
      <c r="K820" s="244"/>
      <c r="L820" s="244"/>
      <c r="M820" s="244"/>
      <c r="N820" s="244"/>
      <c r="O820" s="244"/>
      <c r="P820" s="244"/>
    </row>
    <row r="821" spans="5:16">
      <c r="E821" s="244"/>
      <c r="F821" s="244"/>
      <c r="G821" s="244"/>
      <c r="H821" s="244"/>
      <c r="I821" s="244"/>
      <c r="J821" s="244"/>
      <c r="K821" s="244"/>
      <c r="L821" s="244"/>
      <c r="M821" s="244"/>
      <c r="N821" s="244"/>
      <c r="O821" s="244"/>
      <c r="P821" s="244"/>
    </row>
    <row r="822" spans="5:16">
      <c r="E822" s="244"/>
      <c r="F822" s="244"/>
      <c r="G822" s="244"/>
      <c r="H822" s="244"/>
      <c r="I822" s="244"/>
      <c r="J822" s="244"/>
      <c r="K822" s="244"/>
      <c r="L822" s="244"/>
      <c r="M822" s="244"/>
      <c r="N822" s="244"/>
      <c r="O822" s="244"/>
      <c r="P822" s="244"/>
    </row>
    <row r="823" spans="5:16">
      <c r="E823" s="244"/>
      <c r="F823" s="244"/>
      <c r="G823" s="244"/>
      <c r="H823" s="244"/>
      <c r="I823" s="244"/>
      <c r="J823" s="244"/>
      <c r="K823" s="244"/>
      <c r="L823" s="244"/>
      <c r="M823" s="244"/>
      <c r="N823" s="244"/>
      <c r="O823" s="244"/>
      <c r="P823" s="244"/>
    </row>
    <row r="824" spans="5:16">
      <c r="E824" s="244"/>
      <c r="F824" s="244"/>
      <c r="G824" s="244"/>
      <c r="H824" s="244"/>
      <c r="I824" s="244"/>
      <c r="J824" s="244"/>
      <c r="K824" s="244"/>
      <c r="L824" s="244"/>
      <c r="M824" s="244"/>
      <c r="N824" s="244"/>
      <c r="O824" s="244"/>
      <c r="P824" s="244"/>
    </row>
    <row r="825" spans="5:16">
      <c r="E825" s="244"/>
      <c r="F825" s="244"/>
      <c r="G825" s="244"/>
      <c r="H825" s="244"/>
      <c r="I825" s="244"/>
      <c r="J825" s="244"/>
      <c r="K825" s="244"/>
      <c r="L825" s="244"/>
      <c r="M825" s="244"/>
      <c r="N825" s="244"/>
      <c r="O825" s="244"/>
      <c r="P825" s="244"/>
    </row>
    <row r="826" spans="5:16">
      <c r="E826" s="244"/>
      <c r="F826" s="244"/>
      <c r="G826" s="244"/>
      <c r="H826" s="244"/>
      <c r="I826" s="244"/>
      <c r="J826" s="244"/>
      <c r="K826" s="244"/>
      <c r="L826" s="244"/>
      <c r="M826" s="244"/>
      <c r="N826" s="244"/>
      <c r="O826" s="244"/>
      <c r="P826" s="244"/>
    </row>
    <row r="827" spans="5:16">
      <c r="E827" s="244"/>
      <c r="F827" s="244"/>
      <c r="G827" s="244"/>
      <c r="H827" s="244"/>
      <c r="I827" s="244"/>
      <c r="J827" s="244"/>
      <c r="K827" s="244"/>
      <c r="L827" s="244"/>
      <c r="M827" s="244"/>
      <c r="N827" s="244"/>
      <c r="O827" s="244"/>
      <c r="P827" s="244"/>
    </row>
    <row r="828" spans="5:16">
      <c r="E828" s="244"/>
      <c r="F828" s="244"/>
      <c r="G828" s="244"/>
      <c r="H828" s="244"/>
      <c r="I828" s="244"/>
      <c r="J828" s="244"/>
      <c r="K828" s="244"/>
      <c r="L828" s="244"/>
      <c r="M828" s="244"/>
      <c r="N828" s="244"/>
      <c r="O828" s="244"/>
      <c r="P828" s="244"/>
    </row>
    <row r="829" spans="5:16">
      <c r="E829" s="244"/>
      <c r="F829" s="244"/>
      <c r="G829" s="244"/>
      <c r="H829" s="244"/>
      <c r="I829" s="244"/>
      <c r="J829" s="244"/>
      <c r="K829" s="244"/>
      <c r="L829" s="244"/>
      <c r="M829" s="244"/>
      <c r="N829" s="244"/>
      <c r="O829" s="244"/>
      <c r="P829" s="244"/>
    </row>
    <row r="830" spans="5:16">
      <c r="E830" s="244"/>
      <c r="F830" s="244"/>
      <c r="G830" s="244"/>
      <c r="H830" s="244"/>
      <c r="I830" s="244"/>
      <c r="J830" s="244"/>
      <c r="K830" s="244"/>
      <c r="L830" s="244"/>
      <c r="M830" s="244"/>
      <c r="N830" s="244"/>
      <c r="O830" s="244"/>
      <c r="P830" s="244"/>
    </row>
    <row r="831" spans="5:16">
      <c r="E831" s="244"/>
      <c r="F831" s="244"/>
      <c r="G831" s="244"/>
      <c r="H831" s="244"/>
      <c r="I831" s="244"/>
      <c r="J831" s="244"/>
      <c r="K831" s="244"/>
      <c r="L831" s="244"/>
      <c r="M831" s="244"/>
      <c r="N831" s="244"/>
      <c r="O831" s="244"/>
      <c r="P831" s="244"/>
    </row>
    <row r="832" spans="5:16">
      <c r="E832" s="244"/>
      <c r="F832" s="244"/>
      <c r="G832" s="244"/>
      <c r="H832" s="244"/>
      <c r="I832" s="244"/>
      <c r="J832" s="244"/>
      <c r="K832" s="244"/>
      <c r="L832" s="244"/>
      <c r="M832" s="244"/>
      <c r="N832" s="244"/>
      <c r="O832" s="244"/>
      <c r="P832" s="244"/>
    </row>
    <row r="833" spans="5:16">
      <c r="E833" s="244"/>
      <c r="F833" s="244"/>
      <c r="G833" s="244"/>
      <c r="H833" s="244"/>
      <c r="I833" s="244"/>
      <c r="J833" s="244"/>
      <c r="K833" s="244"/>
      <c r="L833" s="244"/>
      <c r="M833" s="244"/>
      <c r="N833" s="244"/>
      <c r="O833" s="244"/>
      <c r="P833" s="244"/>
    </row>
    <row r="834" spans="5:16">
      <c r="E834" s="244"/>
      <c r="F834" s="244"/>
      <c r="G834" s="244"/>
      <c r="H834" s="244"/>
      <c r="I834" s="244"/>
      <c r="J834" s="244"/>
      <c r="K834" s="244"/>
      <c r="L834" s="244"/>
      <c r="M834" s="244"/>
      <c r="N834" s="244"/>
      <c r="O834" s="244"/>
      <c r="P834" s="244"/>
    </row>
    <row r="835" spans="5:16">
      <c r="E835" s="244"/>
      <c r="F835" s="244"/>
      <c r="G835" s="244"/>
      <c r="H835" s="244"/>
      <c r="I835" s="244"/>
      <c r="J835" s="244"/>
      <c r="K835" s="244"/>
      <c r="L835" s="244"/>
      <c r="M835" s="244"/>
      <c r="N835" s="244"/>
      <c r="O835" s="244"/>
      <c r="P835" s="244"/>
    </row>
    <row r="836" spans="5:16">
      <c r="E836" s="244"/>
      <c r="F836" s="244"/>
      <c r="G836" s="244"/>
      <c r="H836" s="244"/>
      <c r="I836" s="244"/>
      <c r="J836" s="244"/>
      <c r="K836" s="244"/>
      <c r="L836" s="244"/>
      <c r="M836" s="244"/>
      <c r="N836" s="244"/>
      <c r="O836" s="244"/>
      <c r="P836" s="244"/>
    </row>
    <row r="837" spans="5:16">
      <c r="E837" s="244"/>
      <c r="F837" s="244"/>
      <c r="G837" s="244"/>
      <c r="H837" s="244"/>
      <c r="I837" s="244"/>
      <c r="J837" s="244"/>
      <c r="K837" s="244"/>
      <c r="L837" s="244"/>
      <c r="M837" s="244"/>
      <c r="N837" s="244"/>
      <c r="O837" s="244"/>
      <c r="P837" s="244"/>
    </row>
    <row r="838" spans="5:16">
      <c r="E838" s="244"/>
      <c r="F838" s="244"/>
      <c r="G838" s="244"/>
      <c r="H838" s="244"/>
      <c r="I838" s="244"/>
      <c r="J838" s="244"/>
      <c r="K838" s="244"/>
      <c r="L838" s="244"/>
      <c r="M838" s="244"/>
      <c r="N838" s="244"/>
      <c r="O838" s="244"/>
      <c r="P838" s="244"/>
    </row>
    <row r="839" spans="5:16">
      <c r="E839" s="244"/>
      <c r="F839" s="244"/>
      <c r="G839" s="244"/>
      <c r="H839" s="244"/>
      <c r="I839" s="244"/>
      <c r="J839" s="244"/>
      <c r="K839" s="244"/>
      <c r="L839" s="244"/>
      <c r="M839" s="244"/>
      <c r="N839" s="244"/>
      <c r="O839" s="244"/>
      <c r="P839" s="244"/>
    </row>
    <row r="840" spans="5:16">
      <c r="E840" s="244"/>
      <c r="F840" s="244"/>
      <c r="G840" s="244"/>
      <c r="H840" s="244"/>
      <c r="I840" s="244"/>
      <c r="J840" s="244"/>
      <c r="K840" s="244"/>
      <c r="L840" s="244"/>
      <c r="M840" s="244"/>
      <c r="N840" s="244"/>
      <c r="O840" s="244"/>
      <c r="P840" s="244"/>
    </row>
    <row r="841" spans="5:16">
      <c r="E841" s="244"/>
      <c r="F841" s="244"/>
      <c r="G841" s="244"/>
      <c r="H841" s="244"/>
      <c r="I841" s="244"/>
      <c r="J841" s="244"/>
      <c r="K841" s="244"/>
      <c r="L841" s="244"/>
      <c r="M841" s="244"/>
      <c r="N841" s="244"/>
      <c r="O841" s="244"/>
      <c r="P841" s="244"/>
    </row>
    <row r="842" spans="5:16">
      <c r="E842" s="244"/>
      <c r="F842" s="244"/>
      <c r="G842" s="244"/>
      <c r="H842" s="244"/>
      <c r="I842" s="244"/>
      <c r="J842" s="244"/>
      <c r="K842" s="244"/>
      <c r="L842" s="244"/>
      <c r="M842" s="244"/>
      <c r="N842" s="244"/>
      <c r="O842" s="244"/>
      <c r="P842" s="244"/>
    </row>
    <row r="843" spans="5:16">
      <c r="E843" s="244"/>
      <c r="F843" s="244"/>
      <c r="G843" s="244"/>
      <c r="H843" s="244"/>
      <c r="I843" s="244"/>
      <c r="J843" s="244"/>
      <c r="K843" s="244"/>
      <c r="L843" s="244"/>
      <c r="M843" s="244"/>
      <c r="N843" s="244"/>
      <c r="O843" s="244"/>
      <c r="P843" s="244"/>
    </row>
    <row r="844" spans="5:16">
      <c r="E844" s="244"/>
      <c r="F844" s="244"/>
      <c r="G844" s="244"/>
      <c r="H844" s="244"/>
      <c r="I844" s="244"/>
      <c r="J844" s="244"/>
      <c r="K844" s="244"/>
      <c r="L844" s="244"/>
      <c r="M844" s="244"/>
      <c r="N844" s="244"/>
      <c r="O844" s="244"/>
      <c r="P844" s="244"/>
    </row>
    <row r="845" spans="5:16">
      <c r="E845" s="244"/>
      <c r="F845" s="244"/>
      <c r="G845" s="244"/>
      <c r="H845" s="244"/>
      <c r="I845" s="244"/>
      <c r="J845" s="244"/>
      <c r="K845" s="244"/>
      <c r="L845" s="244"/>
      <c r="M845" s="244"/>
      <c r="N845" s="244"/>
      <c r="O845" s="244"/>
      <c r="P845" s="244"/>
    </row>
    <row r="846" spans="5:16">
      <c r="E846" s="244"/>
      <c r="F846" s="244"/>
      <c r="G846" s="244"/>
      <c r="H846" s="244"/>
      <c r="I846" s="244"/>
      <c r="J846" s="244"/>
      <c r="K846" s="244"/>
      <c r="L846" s="244"/>
      <c r="M846" s="244"/>
      <c r="N846" s="244"/>
      <c r="O846" s="244"/>
      <c r="P846" s="244"/>
    </row>
    <row r="847" spans="5:16">
      <c r="E847" s="244"/>
      <c r="F847" s="244"/>
      <c r="G847" s="244"/>
      <c r="H847" s="244"/>
      <c r="I847" s="244"/>
      <c r="J847" s="244"/>
      <c r="K847" s="244"/>
      <c r="L847" s="244"/>
      <c r="M847" s="244"/>
      <c r="N847" s="244"/>
      <c r="O847" s="244"/>
      <c r="P847" s="244"/>
    </row>
    <row r="848" spans="5:16">
      <c r="E848" s="244"/>
      <c r="F848" s="244"/>
      <c r="G848" s="244"/>
      <c r="H848" s="244"/>
      <c r="I848" s="244"/>
      <c r="J848" s="244"/>
      <c r="K848" s="244"/>
      <c r="L848" s="244"/>
      <c r="M848" s="244"/>
      <c r="N848" s="244"/>
      <c r="O848" s="244"/>
      <c r="P848" s="244"/>
    </row>
    <row r="849" spans="5:16">
      <c r="E849" s="244"/>
      <c r="F849" s="244"/>
      <c r="G849" s="244"/>
      <c r="H849" s="244"/>
      <c r="I849" s="244"/>
      <c r="J849" s="244"/>
      <c r="K849" s="244"/>
      <c r="L849" s="244"/>
      <c r="M849" s="244"/>
      <c r="N849" s="244"/>
      <c r="O849" s="244"/>
      <c r="P849" s="244"/>
    </row>
    <row r="850" spans="5:16">
      <c r="E850" s="244"/>
      <c r="F850" s="244"/>
      <c r="G850" s="244"/>
      <c r="H850" s="244"/>
      <c r="I850" s="244"/>
      <c r="J850" s="244"/>
      <c r="K850" s="244"/>
      <c r="L850" s="244"/>
      <c r="M850" s="244"/>
      <c r="N850" s="244"/>
      <c r="O850" s="244"/>
      <c r="P850" s="244"/>
    </row>
    <row r="851" spans="5:16">
      <c r="E851" s="244"/>
      <c r="F851" s="244"/>
      <c r="G851" s="244"/>
      <c r="H851" s="244"/>
      <c r="I851" s="244"/>
      <c r="J851" s="244"/>
      <c r="K851" s="244"/>
      <c r="L851" s="244"/>
      <c r="M851" s="244"/>
      <c r="N851" s="244"/>
      <c r="O851" s="244"/>
      <c r="P851" s="244"/>
    </row>
    <row r="852" spans="5:16">
      <c r="E852" s="244"/>
      <c r="F852" s="244"/>
      <c r="G852" s="244"/>
      <c r="H852" s="244"/>
      <c r="I852" s="244"/>
      <c r="J852" s="244"/>
      <c r="K852" s="244"/>
      <c r="L852" s="244"/>
      <c r="M852" s="244"/>
      <c r="N852" s="244"/>
      <c r="O852" s="244"/>
      <c r="P852" s="244"/>
    </row>
    <row r="853" spans="5:16">
      <c r="E853" s="244"/>
      <c r="F853" s="244"/>
      <c r="G853" s="244"/>
      <c r="H853" s="244"/>
      <c r="I853" s="244"/>
      <c r="J853" s="244"/>
      <c r="K853" s="244"/>
      <c r="L853" s="244"/>
      <c r="M853" s="244"/>
      <c r="N853" s="244"/>
      <c r="O853" s="244"/>
      <c r="P853" s="244"/>
    </row>
    <row r="854" spans="5:16">
      <c r="E854" s="244"/>
      <c r="F854" s="244"/>
      <c r="G854" s="244"/>
      <c r="H854" s="244"/>
      <c r="I854" s="244"/>
      <c r="J854" s="244"/>
      <c r="K854" s="244"/>
      <c r="L854" s="244"/>
      <c r="M854" s="244"/>
      <c r="N854" s="244"/>
      <c r="O854" s="244"/>
      <c r="P854" s="244"/>
    </row>
    <row r="855" spans="5:16">
      <c r="E855" s="244"/>
      <c r="F855" s="244"/>
      <c r="G855" s="244"/>
      <c r="H855" s="244"/>
      <c r="I855" s="244"/>
      <c r="J855" s="244"/>
      <c r="K855" s="244"/>
      <c r="L855" s="244"/>
      <c r="M855" s="244"/>
      <c r="N855" s="244"/>
      <c r="O855" s="244"/>
      <c r="P855" s="244"/>
    </row>
    <row r="856" spans="5:16">
      <c r="E856" s="244"/>
      <c r="F856" s="244"/>
      <c r="G856" s="244"/>
      <c r="H856" s="244"/>
      <c r="I856" s="244"/>
      <c r="J856" s="244"/>
      <c r="K856" s="244"/>
      <c r="L856" s="244"/>
      <c r="M856" s="244"/>
      <c r="N856" s="244"/>
      <c r="O856" s="244"/>
      <c r="P856" s="244"/>
    </row>
    <row r="857" spans="5:16">
      <c r="E857" s="244"/>
      <c r="F857" s="244"/>
      <c r="G857" s="244"/>
      <c r="H857" s="244"/>
      <c r="I857" s="244"/>
      <c r="J857" s="244"/>
      <c r="K857" s="244"/>
      <c r="L857" s="244"/>
      <c r="M857" s="244"/>
      <c r="N857" s="244"/>
      <c r="O857" s="244"/>
      <c r="P857" s="244"/>
    </row>
    <row r="858" spans="5:16">
      <c r="E858" s="244"/>
      <c r="F858" s="244"/>
      <c r="G858" s="244"/>
      <c r="H858" s="244"/>
      <c r="I858" s="244"/>
      <c r="J858" s="244"/>
      <c r="K858" s="244"/>
      <c r="L858" s="244"/>
      <c r="M858" s="244"/>
      <c r="N858" s="244"/>
      <c r="O858" s="244"/>
      <c r="P858" s="244"/>
    </row>
    <row r="859" spans="5:16">
      <c r="E859" s="244"/>
      <c r="F859" s="244"/>
      <c r="G859" s="244"/>
      <c r="H859" s="244"/>
      <c r="I859" s="244"/>
      <c r="J859" s="244"/>
      <c r="K859" s="244"/>
      <c r="L859" s="244"/>
      <c r="M859" s="244"/>
      <c r="N859" s="244"/>
      <c r="O859" s="244"/>
      <c r="P859" s="244"/>
    </row>
    <row r="860" spans="5:16">
      <c r="E860" s="244"/>
      <c r="F860" s="244"/>
      <c r="G860" s="244"/>
      <c r="H860" s="244"/>
      <c r="I860" s="244"/>
      <c r="J860" s="244"/>
      <c r="K860" s="244"/>
      <c r="L860" s="244"/>
      <c r="M860" s="244"/>
      <c r="N860" s="244"/>
      <c r="O860" s="244"/>
      <c r="P860" s="244"/>
    </row>
    <row r="861" spans="5:16">
      <c r="E861" s="244"/>
      <c r="F861" s="244"/>
      <c r="G861" s="244"/>
      <c r="H861" s="244"/>
      <c r="I861" s="244"/>
      <c r="J861" s="244"/>
      <c r="K861" s="244"/>
      <c r="L861" s="244"/>
      <c r="M861" s="244"/>
      <c r="N861" s="244"/>
      <c r="O861" s="244"/>
      <c r="P861" s="244"/>
    </row>
    <row r="862" spans="5:16">
      <c r="E862" s="244"/>
      <c r="F862" s="244"/>
      <c r="G862" s="244"/>
      <c r="H862" s="244"/>
      <c r="I862" s="244"/>
      <c r="J862" s="244"/>
      <c r="K862" s="244"/>
      <c r="L862" s="244"/>
      <c r="M862" s="244"/>
      <c r="N862" s="244"/>
      <c r="O862" s="244"/>
      <c r="P862" s="244"/>
    </row>
    <row r="863" spans="5:16">
      <c r="E863" s="244"/>
      <c r="F863" s="244"/>
      <c r="G863" s="244"/>
      <c r="H863" s="244"/>
      <c r="I863" s="244"/>
      <c r="J863" s="244"/>
      <c r="K863" s="244"/>
      <c r="L863" s="244"/>
      <c r="M863" s="244"/>
      <c r="N863" s="244"/>
      <c r="O863" s="244"/>
      <c r="P863" s="244"/>
    </row>
    <row r="864" spans="5:16">
      <c r="E864" s="244"/>
      <c r="F864" s="244"/>
      <c r="G864" s="244"/>
      <c r="H864" s="244"/>
      <c r="I864" s="244"/>
      <c r="J864" s="244"/>
      <c r="K864" s="244"/>
      <c r="L864" s="244"/>
      <c r="M864" s="244"/>
      <c r="N864" s="244"/>
      <c r="O864" s="244"/>
      <c r="P864" s="244"/>
    </row>
    <row r="865" spans="5:16">
      <c r="E865" s="244"/>
      <c r="F865" s="244"/>
      <c r="G865" s="244"/>
      <c r="H865" s="244"/>
      <c r="I865" s="244"/>
      <c r="J865" s="244"/>
      <c r="K865" s="244"/>
      <c r="L865" s="244"/>
      <c r="M865" s="244"/>
      <c r="N865" s="244"/>
      <c r="O865" s="244"/>
      <c r="P865" s="244"/>
    </row>
    <row r="866" spans="5:16">
      <c r="E866" s="244"/>
      <c r="F866" s="244"/>
      <c r="G866" s="244"/>
      <c r="H866" s="244"/>
      <c r="I866" s="244"/>
      <c r="J866" s="244"/>
      <c r="K866" s="244"/>
      <c r="L866" s="244"/>
      <c r="M866" s="244"/>
      <c r="N866" s="244"/>
      <c r="O866" s="244"/>
      <c r="P866" s="244"/>
    </row>
    <row r="867" spans="5:16">
      <c r="E867" s="244"/>
      <c r="F867" s="244"/>
      <c r="G867" s="244"/>
      <c r="H867" s="244"/>
      <c r="I867" s="244"/>
      <c r="J867" s="244"/>
      <c r="K867" s="244"/>
      <c r="L867" s="244"/>
      <c r="M867" s="244"/>
      <c r="N867" s="244"/>
      <c r="O867" s="244"/>
      <c r="P867" s="244"/>
    </row>
    <row r="868" spans="5:16">
      <c r="E868" s="244"/>
      <c r="F868" s="244"/>
      <c r="G868" s="244"/>
      <c r="H868" s="244"/>
      <c r="I868" s="244"/>
      <c r="J868" s="244"/>
      <c r="K868" s="244"/>
      <c r="L868" s="244"/>
      <c r="M868" s="244"/>
      <c r="N868" s="244"/>
      <c r="O868" s="244"/>
      <c r="P868" s="244"/>
    </row>
    <row r="869" spans="5:16">
      <c r="E869" s="244"/>
      <c r="F869" s="244"/>
      <c r="G869" s="244"/>
      <c r="H869" s="244"/>
      <c r="I869" s="244"/>
      <c r="J869" s="244"/>
      <c r="K869" s="244"/>
      <c r="L869" s="244"/>
      <c r="M869" s="244"/>
      <c r="N869" s="244"/>
      <c r="O869" s="244"/>
      <c r="P869" s="244"/>
    </row>
    <row r="870" spans="5:16">
      <c r="E870" s="244"/>
      <c r="F870" s="244"/>
      <c r="G870" s="244"/>
      <c r="H870" s="244"/>
      <c r="I870" s="244"/>
      <c r="J870" s="244"/>
      <c r="K870" s="244"/>
      <c r="L870" s="244"/>
      <c r="M870" s="244"/>
      <c r="N870" s="244"/>
      <c r="O870" s="244"/>
      <c r="P870" s="244"/>
    </row>
    <row r="871" spans="5:16">
      <c r="E871" s="244"/>
      <c r="F871" s="244"/>
      <c r="G871" s="244"/>
      <c r="H871" s="244"/>
      <c r="I871" s="244"/>
      <c r="J871" s="244"/>
      <c r="K871" s="244"/>
      <c r="L871" s="244"/>
      <c r="M871" s="244"/>
      <c r="N871" s="244"/>
      <c r="O871" s="244"/>
      <c r="P871" s="244"/>
    </row>
    <row r="872" spans="5:16">
      <c r="E872" s="244"/>
      <c r="F872" s="244"/>
      <c r="G872" s="244"/>
      <c r="H872" s="244"/>
      <c r="I872" s="244"/>
      <c r="J872" s="244"/>
      <c r="K872" s="244"/>
      <c r="L872" s="244"/>
      <c r="M872" s="244"/>
      <c r="N872" s="244"/>
      <c r="O872" s="244"/>
      <c r="P872" s="244"/>
    </row>
    <row r="873" spans="5:16">
      <c r="E873" s="244"/>
      <c r="F873" s="244"/>
      <c r="G873" s="244"/>
      <c r="H873" s="244"/>
      <c r="I873" s="244"/>
      <c r="J873" s="244"/>
      <c r="K873" s="244"/>
      <c r="L873" s="244"/>
      <c r="M873" s="244"/>
      <c r="N873" s="244"/>
      <c r="O873" s="244"/>
      <c r="P873" s="244"/>
    </row>
    <row r="874" spans="5:16">
      <c r="E874" s="244"/>
      <c r="F874" s="244"/>
      <c r="G874" s="244"/>
      <c r="H874" s="244"/>
      <c r="I874" s="244"/>
      <c r="J874" s="244"/>
      <c r="K874" s="244"/>
      <c r="L874" s="244"/>
      <c r="M874" s="244"/>
      <c r="N874" s="244"/>
      <c r="O874" s="244"/>
      <c r="P874" s="244"/>
    </row>
    <row r="875" spans="5:16">
      <c r="E875" s="244"/>
      <c r="F875" s="244"/>
      <c r="G875" s="244"/>
      <c r="H875" s="244"/>
      <c r="I875" s="244"/>
      <c r="J875" s="244"/>
      <c r="K875" s="244"/>
      <c r="L875" s="244"/>
      <c r="M875" s="244"/>
      <c r="N875" s="244"/>
      <c r="O875" s="244"/>
      <c r="P875" s="244"/>
    </row>
    <row r="876" spans="5:16">
      <c r="E876" s="244"/>
      <c r="F876" s="244"/>
      <c r="G876" s="244"/>
      <c r="H876" s="244"/>
      <c r="I876" s="244"/>
      <c r="J876" s="244"/>
      <c r="K876" s="244"/>
      <c r="L876" s="244"/>
      <c r="M876" s="244"/>
      <c r="N876" s="244"/>
      <c r="O876" s="244"/>
      <c r="P876" s="244"/>
    </row>
    <row r="877" spans="5:16">
      <c r="E877" s="244"/>
      <c r="F877" s="244"/>
      <c r="G877" s="244"/>
      <c r="H877" s="244"/>
      <c r="I877" s="244"/>
      <c r="J877" s="244"/>
      <c r="K877" s="244"/>
      <c r="L877" s="244"/>
      <c r="M877" s="244"/>
      <c r="N877" s="244"/>
      <c r="O877" s="244"/>
      <c r="P877" s="244"/>
    </row>
    <row r="878" spans="5:16">
      <c r="E878" s="244"/>
      <c r="F878" s="244"/>
      <c r="G878" s="244"/>
      <c r="H878" s="244"/>
      <c r="I878" s="244"/>
      <c r="J878" s="244"/>
      <c r="K878" s="244"/>
      <c r="L878" s="244"/>
      <c r="M878" s="244"/>
      <c r="N878" s="244"/>
      <c r="O878" s="244"/>
      <c r="P878" s="244"/>
    </row>
    <row r="879" spans="5:16">
      <c r="E879" s="244"/>
      <c r="F879" s="244"/>
      <c r="G879" s="244"/>
      <c r="H879" s="244"/>
      <c r="I879" s="244"/>
      <c r="J879" s="244"/>
      <c r="K879" s="244"/>
      <c r="L879" s="244"/>
      <c r="M879" s="244"/>
      <c r="N879" s="244"/>
      <c r="O879" s="244"/>
      <c r="P879" s="244"/>
    </row>
    <row r="880" spans="5:16">
      <c r="E880" s="244"/>
      <c r="F880" s="244"/>
      <c r="G880" s="244"/>
      <c r="H880" s="244"/>
      <c r="I880" s="244"/>
      <c r="J880" s="244"/>
      <c r="K880" s="244"/>
      <c r="L880" s="244"/>
      <c r="M880" s="244"/>
      <c r="N880" s="244"/>
      <c r="O880" s="244"/>
      <c r="P880" s="244"/>
    </row>
    <row r="881" spans="5:16">
      <c r="E881" s="244"/>
      <c r="F881" s="244"/>
      <c r="G881" s="244"/>
      <c r="H881" s="244"/>
      <c r="I881" s="244"/>
      <c r="J881" s="244"/>
      <c r="K881" s="244"/>
      <c r="L881" s="244"/>
      <c r="M881" s="244"/>
      <c r="N881" s="244"/>
      <c r="O881" s="244"/>
      <c r="P881" s="244"/>
    </row>
    <row r="882" spans="5:16">
      <c r="E882" s="244"/>
      <c r="F882" s="244"/>
      <c r="G882" s="244"/>
      <c r="H882" s="244"/>
      <c r="I882" s="244"/>
      <c r="J882" s="244"/>
      <c r="K882" s="244"/>
      <c r="L882" s="244"/>
      <c r="M882" s="244"/>
      <c r="N882" s="244"/>
      <c r="O882" s="244"/>
      <c r="P882" s="244"/>
    </row>
    <row r="883" spans="5:16">
      <c r="E883" s="244"/>
      <c r="F883" s="244"/>
      <c r="G883" s="244"/>
      <c r="H883" s="244"/>
      <c r="I883" s="244"/>
      <c r="J883" s="244"/>
      <c r="K883" s="244"/>
      <c r="L883" s="244"/>
      <c r="M883" s="244"/>
      <c r="N883" s="244"/>
      <c r="O883" s="244"/>
      <c r="P883" s="244"/>
    </row>
    <row r="884" spans="5:16">
      <c r="E884" s="244"/>
      <c r="F884" s="244"/>
      <c r="G884" s="244"/>
      <c r="H884" s="244"/>
      <c r="I884" s="244"/>
      <c r="J884" s="244"/>
      <c r="K884" s="244"/>
      <c r="L884" s="244"/>
      <c r="M884" s="244"/>
      <c r="N884" s="244"/>
      <c r="O884" s="244"/>
      <c r="P884" s="244"/>
    </row>
    <row r="885" spans="5:16">
      <c r="E885" s="244"/>
      <c r="F885" s="244"/>
      <c r="G885" s="244"/>
      <c r="H885" s="244"/>
      <c r="I885" s="244"/>
      <c r="J885" s="244"/>
      <c r="K885" s="244"/>
      <c r="L885" s="244"/>
      <c r="M885" s="244"/>
      <c r="N885" s="244"/>
      <c r="O885" s="244"/>
      <c r="P885" s="244"/>
    </row>
    <row r="886" spans="5:16">
      <c r="E886" s="244"/>
      <c r="F886" s="244"/>
      <c r="G886" s="244"/>
      <c r="H886" s="244"/>
      <c r="I886" s="244"/>
      <c r="J886" s="244"/>
      <c r="K886" s="244"/>
      <c r="L886" s="244"/>
      <c r="M886" s="244"/>
      <c r="N886" s="244"/>
      <c r="O886" s="244"/>
      <c r="P886" s="244"/>
    </row>
    <row r="887" spans="5:16">
      <c r="E887" s="244"/>
      <c r="F887" s="244"/>
      <c r="G887" s="244"/>
      <c r="H887" s="244"/>
      <c r="I887" s="244"/>
      <c r="J887" s="244"/>
      <c r="K887" s="244"/>
      <c r="L887" s="244"/>
      <c r="M887" s="244"/>
      <c r="N887" s="244"/>
      <c r="O887" s="244"/>
      <c r="P887" s="244"/>
    </row>
    <row r="888" spans="5:16">
      <c r="E888" s="244"/>
      <c r="F888" s="244"/>
      <c r="G888" s="244"/>
      <c r="H888" s="244"/>
      <c r="I888" s="244"/>
      <c r="J888" s="244"/>
      <c r="K888" s="244"/>
      <c r="L888" s="244"/>
      <c r="M888" s="244"/>
      <c r="N888" s="244"/>
      <c r="O888" s="244"/>
      <c r="P888" s="244"/>
    </row>
    <row r="889" spans="5:16">
      <c r="E889" s="244"/>
      <c r="F889" s="244"/>
      <c r="G889" s="244"/>
      <c r="H889" s="244"/>
      <c r="I889" s="244"/>
      <c r="J889" s="244"/>
      <c r="K889" s="244"/>
      <c r="L889" s="244"/>
      <c r="M889" s="244"/>
      <c r="N889" s="244"/>
      <c r="O889" s="244"/>
      <c r="P889" s="244"/>
    </row>
    <row r="890" spans="5:16">
      <c r="E890" s="244"/>
      <c r="F890" s="244"/>
      <c r="G890" s="244"/>
      <c r="H890" s="244"/>
      <c r="I890" s="244"/>
      <c r="J890" s="244"/>
      <c r="K890" s="244"/>
      <c r="L890" s="244"/>
      <c r="M890" s="244"/>
      <c r="N890" s="244"/>
      <c r="O890" s="244"/>
      <c r="P890" s="244"/>
    </row>
    <row r="891" spans="5:16">
      <c r="E891" s="244"/>
      <c r="F891" s="244"/>
      <c r="G891" s="244"/>
      <c r="H891" s="244"/>
      <c r="I891" s="244"/>
      <c r="J891" s="244"/>
      <c r="K891" s="244"/>
      <c r="L891" s="244"/>
      <c r="M891" s="244"/>
      <c r="N891" s="244"/>
      <c r="O891" s="244"/>
      <c r="P891" s="244"/>
    </row>
    <row r="892" spans="5:16">
      <c r="E892" s="244"/>
      <c r="F892" s="244"/>
      <c r="G892" s="244"/>
      <c r="H892" s="244"/>
      <c r="I892" s="244"/>
      <c r="J892" s="244"/>
      <c r="K892" s="244"/>
      <c r="L892" s="244"/>
      <c r="M892" s="244"/>
      <c r="N892" s="244"/>
      <c r="O892" s="244"/>
      <c r="P892" s="244"/>
    </row>
    <row r="893" spans="5:16">
      <c r="E893" s="244"/>
      <c r="F893" s="244"/>
      <c r="G893" s="244"/>
      <c r="H893" s="244"/>
      <c r="I893" s="244"/>
      <c r="J893" s="244"/>
      <c r="K893" s="244"/>
      <c r="L893" s="244"/>
      <c r="M893" s="244"/>
      <c r="N893" s="244"/>
      <c r="O893" s="244"/>
      <c r="P893" s="244"/>
    </row>
    <row r="894" spans="5:16">
      <c r="E894" s="244"/>
      <c r="F894" s="244"/>
      <c r="G894" s="244"/>
      <c r="H894" s="244"/>
      <c r="I894" s="244"/>
      <c r="J894" s="244"/>
      <c r="K894" s="244"/>
      <c r="L894" s="244"/>
      <c r="M894" s="244"/>
      <c r="N894" s="244"/>
      <c r="O894" s="244"/>
      <c r="P894" s="244"/>
    </row>
    <row r="895" spans="5:16">
      <c r="E895" s="244"/>
      <c r="F895" s="244"/>
      <c r="G895" s="244"/>
      <c r="H895" s="244"/>
      <c r="I895" s="244"/>
      <c r="J895" s="244"/>
      <c r="K895" s="244"/>
      <c r="L895" s="244"/>
      <c r="M895" s="244"/>
      <c r="N895" s="244"/>
      <c r="O895" s="244"/>
      <c r="P895" s="244"/>
    </row>
    <row r="896" spans="5:16">
      <c r="E896" s="244"/>
      <c r="F896" s="244"/>
      <c r="G896" s="244"/>
      <c r="H896" s="244"/>
      <c r="I896" s="244"/>
      <c r="J896" s="244"/>
      <c r="K896" s="244"/>
      <c r="L896" s="244"/>
      <c r="M896" s="244"/>
      <c r="N896" s="244"/>
      <c r="O896" s="244"/>
      <c r="P896" s="244"/>
    </row>
    <row r="897" spans="5:16">
      <c r="E897" s="244"/>
      <c r="F897" s="244"/>
      <c r="G897" s="244"/>
      <c r="H897" s="244"/>
      <c r="I897" s="244"/>
      <c r="J897" s="244"/>
      <c r="K897" s="244"/>
      <c r="L897" s="244"/>
      <c r="M897" s="244"/>
      <c r="N897" s="244"/>
      <c r="O897" s="244"/>
      <c r="P897" s="244"/>
    </row>
    <row r="898" spans="5:16">
      <c r="E898" s="244"/>
      <c r="F898" s="244"/>
      <c r="G898" s="244"/>
      <c r="H898" s="244"/>
      <c r="I898" s="244"/>
      <c r="J898" s="244"/>
      <c r="K898" s="244"/>
      <c r="L898" s="244"/>
      <c r="M898" s="244"/>
      <c r="N898" s="244"/>
      <c r="O898" s="244"/>
      <c r="P898" s="244"/>
    </row>
    <row r="899" spans="5:16">
      <c r="E899" s="244"/>
      <c r="F899" s="244"/>
      <c r="G899" s="244"/>
      <c r="H899" s="244"/>
      <c r="I899" s="244"/>
      <c r="J899" s="244"/>
      <c r="K899" s="244"/>
      <c r="L899" s="244"/>
      <c r="M899" s="244"/>
      <c r="N899" s="244"/>
      <c r="O899" s="244"/>
      <c r="P899" s="244"/>
    </row>
    <row r="900" spans="5:16">
      <c r="E900" s="244"/>
      <c r="F900" s="244"/>
      <c r="G900" s="244"/>
      <c r="H900" s="244"/>
      <c r="I900" s="244"/>
      <c r="J900" s="244"/>
      <c r="K900" s="244"/>
      <c r="L900" s="244"/>
      <c r="M900" s="244"/>
      <c r="N900" s="244"/>
      <c r="O900" s="244"/>
      <c r="P900" s="244"/>
    </row>
    <row r="901" spans="5:16">
      <c r="E901" s="244"/>
      <c r="F901" s="244"/>
      <c r="G901" s="244"/>
      <c r="H901" s="244"/>
      <c r="I901" s="244"/>
      <c r="J901" s="244"/>
      <c r="K901" s="244"/>
      <c r="L901" s="244"/>
      <c r="M901" s="244"/>
      <c r="N901" s="244"/>
      <c r="O901" s="244"/>
      <c r="P901" s="244"/>
    </row>
    <row r="902" spans="5:16">
      <c r="E902" s="244"/>
      <c r="F902" s="244"/>
      <c r="G902" s="244"/>
      <c r="H902" s="244"/>
      <c r="I902" s="244"/>
      <c r="J902" s="244"/>
      <c r="K902" s="244"/>
      <c r="L902" s="244"/>
      <c r="M902" s="244"/>
      <c r="N902" s="244"/>
      <c r="O902" s="244"/>
      <c r="P902" s="244"/>
    </row>
    <row r="903" spans="5:16">
      <c r="E903" s="244"/>
      <c r="F903" s="244"/>
      <c r="G903" s="244"/>
      <c r="H903" s="244"/>
      <c r="I903" s="244"/>
      <c r="J903" s="244"/>
      <c r="K903" s="244"/>
      <c r="L903" s="244"/>
      <c r="M903" s="244"/>
      <c r="N903" s="244"/>
      <c r="O903" s="244"/>
      <c r="P903" s="244"/>
    </row>
    <row r="904" spans="5:16">
      <c r="E904" s="244"/>
      <c r="F904" s="244"/>
      <c r="G904" s="244"/>
      <c r="H904" s="244"/>
      <c r="I904" s="244"/>
      <c r="J904" s="244"/>
      <c r="K904" s="244"/>
      <c r="L904" s="244"/>
      <c r="M904" s="244"/>
      <c r="N904" s="244"/>
      <c r="O904" s="244"/>
      <c r="P904" s="244"/>
    </row>
    <row r="905" spans="5:16">
      <c r="E905" s="244"/>
      <c r="F905" s="244"/>
      <c r="G905" s="244"/>
      <c r="H905" s="244"/>
      <c r="I905" s="244"/>
      <c r="J905" s="244"/>
      <c r="K905" s="244"/>
      <c r="L905" s="244"/>
      <c r="M905" s="244"/>
      <c r="N905" s="244"/>
      <c r="O905" s="244"/>
      <c r="P905" s="244"/>
    </row>
    <row r="906" spans="5:16">
      <c r="E906" s="244"/>
      <c r="F906" s="244"/>
      <c r="G906" s="244"/>
      <c r="H906" s="244"/>
      <c r="I906" s="244"/>
      <c r="J906" s="244"/>
      <c r="K906" s="244"/>
      <c r="L906" s="244"/>
      <c r="M906" s="244"/>
      <c r="N906" s="244"/>
      <c r="O906" s="244"/>
      <c r="P906" s="244"/>
    </row>
    <row r="907" spans="5:16">
      <c r="E907" s="244"/>
      <c r="F907" s="244"/>
      <c r="G907" s="244"/>
      <c r="H907" s="244"/>
      <c r="I907" s="244"/>
      <c r="J907" s="244"/>
      <c r="K907" s="244"/>
      <c r="L907" s="244"/>
      <c r="M907" s="244"/>
      <c r="N907" s="244"/>
      <c r="O907" s="244"/>
      <c r="P907" s="244"/>
    </row>
    <row r="908" spans="5:16">
      <c r="E908" s="244"/>
      <c r="F908" s="244"/>
      <c r="G908" s="244"/>
      <c r="H908" s="244"/>
      <c r="I908" s="244"/>
      <c r="J908" s="244"/>
      <c r="K908" s="244"/>
      <c r="L908" s="244"/>
      <c r="M908" s="244"/>
      <c r="N908" s="244"/>
      <c r="O908" s="244"/>
      <c r="P908" s="244"/>
    </row>
    <row r="909" spans="5:16">
      <c r="E909" s="244"/>
      <c r="F909" s="244"/>
      <c r="G909" s="244"/>
      <c r="H909" s="244"/>
      <c r="I909" s="244"/>
      <c r="J909" s="244"/>
      <c r="K909" s="244"/>
      <c r="L909" s="244"/>
      <c r="M909" s="244"/>
      <c r="N909" s="244"/>
      <c r="O909" s="244"/>
      <c r="P909" s="244"/>
    </row>
    <row r="910" spans="5:16">
      <c r="E910" s="244"/>
      <c r="F910" s="244"/>
      <c r="G910" s="244"/>
      <c r="H910" s="244"/>
      <c r="I910" s="244"/>
      <c r="J910" s="244"/>
      <c r="K910" s="244"/>
      <c r="L910" s="244"/>
      <c r="M910" s="244"/>
      <c r="N910" s="244"/>
      <c r="O910" s="244"/>
      <c r="P910" s="244"/>
    </row>
    <row r="911" spans="5:16">
      <c r="E911" s="244"/>
      <c r="F911" s="244"/>
      <c r="G911" s="244"/>
      <c r="H911" s="244"/>
      <c r="I911" s="244"/>
      <c r="J911" s="244"/>
      <c r="K911" s="244"/>
      <c r="L911" s="244"/>
      <c r="M911" s="244"/>
      <c r="N911" s="244"/>
      <c r="O911" s="244"/>
      <c r="P911" s="244"/>
    </row>
    <row r="912" spans="5:16">
      <c r="E912" s="244"/>
      <c r="F912" s="244"/>
      <c r="G912" s="244"/>
      <c r="H912" s="244"/>
      <c r="I912" s="244"/>
      <c r="J912" s="244"/>
      <c r="K912" s="244"/>
      <c r="L912" s="244"/>
      <c r="M912" s="244"/>
      <c r="N912" s="244"/>
      <c r="O912" s="244"/>
      <c r="P912" s="244"/>
    </row>
    <row r="913" spans="5:16">
      <c r="E913" s="244"/>
      <c r="F913" s="244"/>
      <c r="G913" s="244"/>
      <c r="H913" s="244"/>
      <c r="I913" s="244"/>
      <c r="J913" s="244"/>
      <c r="K913" s="244"/>
      <c r="L913" s="244"/>
      <c r="M913" s="244"/>
      <c r="N913" s="244"/>
      <c r="O913" s="244"/>
      <c r="P913" s="244"/>
    </row>
    <row r="914" spans="5:16">
      <c r="E914" s="244"/>
      <c r="F914" s="244"/>
      <c r="G914" s="244"/>
      <c r="H914" s="244"/>
      <c r="I914" s="244"/>
      <c r="J914" s="244"/>
      <c r="K914" s="244"/>
      <c r="L914" s="244"/>
      <c r="M914" s="244"/>
      <c r="N914" s="244"/>
      <c r="O914" s="244"/>
      <c r="P914" s="244"/>
    </row>
    <row r="915" spans="5:16">
      <c r="E915" s="244"/>
      <c r="F915" s="244"/>
      <c r="G915" s="244"/>
      <c r="H915" s="244"/>
      <c r="I915" s="244"/>
      <c r="J915" s="244"/>
      <c r="K915" s="244"/>
      <c r="L915" s="244"/>
      <c r="M915" s="244"/>
      <c r="N915" s="244"/>
      <c r="O915" s="244"/>
      <c r="P915" s="244"/>
    </row>
    <row r="916" spans="5:16">
      <c r="E916" s="244"/>
      <c r="F916" s="244"/>
      <c r="G916" s="244"/>
      <c r="H916" s="244"/>
      <c r="I916" s="244"/>
      <c r="J916" s="244"/>
      <c r="K916" s="244"/>
      <c r="L916" s="244"/>
      <c r="M916" s="244"/>
      <c r="N916" s="244"/>
      <c r="O916" s="244"/>
      <c r="P916" s="244"/>
    </row>
    <row r="917" spans="5:16">
      <c r="E917" s="244"/>
      <c r="F917" s="244"/>
      <c r="G917" s="244"/>
      <c r="H917" s="244"/>
      <c r="I917" s="244"/>
      <c r="J917" s="244"/>
      <c r="K917" s="244"/>
      <c r="L917" s="244"/>
      <c r="M917" s="244"/>
      <c r="N917" s="244"/>
      <c r="O917" s="244"/>
      <c r="P917" s="244"/>
    </row>
    <row r="918" spans="5:16">
      <c r="E918" s="244"/>
      <c r="F918" s="244"/>
      <c r="G918" s="244"/>
      <c r="H918" s="244"/>
      <c r="I918" s="244"/>
      <c r="J918" s="244"/>
      <c r="K918" s="244"/>
      <c r="L918" s="244"/>
      <c r="M918" s="244"/>
      <c r="N918" s="244"/>
      <c r="O918" s="244"/>
      <c r="P918" s="244"/>
    </row>
    <row r="919" spans="5:16">
      <c r="E919" s="244"/>
      <c r="F919" s="244"/>
      <c r="G919" s="244"/>
      <c r="H919" s="244"/>
      <c r="I919" s="244"/>
      <c r="J919" s="244"/>
      <c r="K919" s="244"/>
      <c r="L919" s="244"/>
      <c r="M919" s="244"/>
      <c r="N919" s="244"/>
      <c r="O919" s="244"/>
      <c r="P919" s="244"/>
    </row>
    <row r="920" spans="5:16">
      <c r="E920" s="244"/>
      <c r="F920" s="244"/>
      <c r="G920" s="244"/>
      <c r="H920" s="244"/>
      <c r="I920" s="244"/>
      <c r="J920" s="244"/>
      <c r="K920" s="244"/>
      <c r="L920" s="244"/>
      <c r="M920" s="244"/>
      <c r="N920" s="244"/>
      <c r="O920" s="244"/>
      <c r="P920" s="244"/>
    </row>
    <row r="921" spans="5:16">
      <c r="E921" s="244"/>
      <c r="F921" s="244"/>
      <c r="G921" s="244"/>
      <c r="H921" s="244"/>
      <c r="I921" s="244"/>
      <c r="J921" s="244"/>
      <c r="K921" s="244"/>
      <c r="L921" s="244"/>
      <c r="M921" s="244"/>
      <c r="N921" s="244"/>
      <c r="O921" s="244"/>
      <c r="P921" s="244"/>
    </row>
    <row r="922" spans="5:16">
      <c r="E922" s="244"/>
      <c r="F922" s="244"/>
      <c r="G922" s="244"/>
      <c r="H922" s="244"/>
      <c r="I922" s="244"/>
      <c r="J922" s="244"/>
      <c r="K922" s="244"/>
      <c r="L922" s="244"/>
      <c r="M922" s="244"/>
      <c r="N922" s="244"/>
      <c r="O922" s="244"/>
      <c r="P922" s="244"/>
    </row>
    <row r="923" spans="5:16">
      <c r="E923" s="244"/>
      <c r="F923" s="244"/>
      <c r="G923" s="244"/>
      <c r="H923" s="244"/>
      <c r="I923" s="244"/>
      <c r="J923" s="244"/>
      <c r="K923" s="244"/>
      <c r="L923" s="244"/>
      <c r="M923" s="244"/>
      <c r="N923" s="244"/>
      <c r="O923" s="244"/>
      <c r="P923" s="244"/>
    </row>
    <row r="924" spans="5:16">
      <c r="E924" s="244"/>
      <c r="F924" s="244"/>
      <c r="G924" s="244"/>
      <c r="H924" s="244"/>
      <c r="I924" s="244"/>
      <c r="J924" s="244"/>
      <c r="K924" s="244"/>
      <c r="L924" s="244"/>
      <c r="M924" s="244"/>
      <c r="N924" s="244"/>
      <c r="O924" s="244"/>
      <c r="P924" s="244"/>
    </row>
    <row r="925" spans="5:16">
      <c r="E925" s="244"/>
      <c r="F925" s="244"/>
      <c r="G925" s="244"/>
      <c r="H925" s="244"/>
      <c r="I925" s="244"/>
      <c r="J925" s="244"/>
      <c r="K925" s="244"/>
      <c r="L925" s="244"/>
      <c r="M925" s="244"/>
      <c r="N925" s="244"/>
      <c r="O925" s="244"/>
      <c r="P925" s="244"/>
    </row>
    <row r="926" spans="5:16">
      <c r="E926" s="244"/>
      <c r="F926" s="244"/>
      <c r="G926" s="244"/>
      <c r="H926" s="244"/>
      <c r="I926" s="244"/>
      <c r="J926" s="244"/>
      <c r="K926" s="244"/>
      <c r="L926" s="244"/>
      <c r="M926" s="244"/>
      <c r="N926" s="244"/>
      <c r="O926" s="244"/>
      <c r="P926" s="244"/>
    </row>
    <row r="927" spans="5:16">
      <c r="E927" s="244"/>
      <c r="F927" s="244"/>
      <c r="G927" s="244"/>
      <c r="H927" s="244"/>
      <c r="I927" s="244"/>
      <c r="J927" s="244"/>
      <c r="K927" s="244"/>
      <c r="L927" s="244"/>
      <c r="M927" s="244"/>
      <c r="N927" s="244"/>
      <c r="O927" s="244"/>
      <c r="P927" s="244"/>
    </row>
    <row r="928" spans="5:16">
      <c r="E928" s="244"/>
      <c r="F928" s="244"/>
      <c r="G928" s="244"/>
      <c r="H928" s="244"/>
      <c r="I928" s="244"/>
      <c r="J928" s="244"/>
      <c r="K928" s="244"/>
      <c r="L928" s="244"/>
      <c r="M928" s="244"/>
      <c r="N928" s="244"/>
      <c r="O928" s="244"/>
      <c r="P928" s="244"/>
    </row>
    <row r="929" spans="5:16">
      <c r="E929" s="244"/>
      <c r="F929" s="244"/>
      <c r="G929" s="244"/>
      <c r="H929" s="244"/>
      <c r="I929" s="244"/>
      <c r="J929" s="244"/>
      <c r="K929" s="244"/>
      <c r="L929" s="244"/>
      <c r="M929" s="244"/>
      <c r="N929" s="244"/>
      <c r="O929" s="244"/>
      <c r="P929" s="244"/>
    </row>
    <row r="930" spans="5:16">
      <c r="E930" s="244"/>
      <c r="F930" s="244"/>
      <c r="G930" s="244"/>
      <c r="H930" s="244"/>
      <c r="I930" s="244"/>
      <c r="J930" s="244"/>
      <c r="K930" s="244"/>
      <c r="L930" s="244"/>
      <c r="M930" s="244"/>
      <c r="N930" s="244"/>
      <c r="O930" s="244"/>
      <c r="P930" s="244"/>
    </row>
    <row r="931" spans="5:16">
      <c r="E931" s="244"/>
      <c r="F931" s="244"/>
      <c r="G931" s="244"/>
      <c r="H931" s="244"/>
      <c r="I931" s="244"/>
      <c r="J931" s="244"/>
      <c r="K931" s="244"/>
      <c r="L931" s="244"/>
      <c r="M931" s="244"/>
      <c r="N931" s="244"/>
      <c r="O931" s="244"/>
      <c r="P931" s="244"/>
    </row>
    <row r="932" spans="5:16">
      <c r="E932" s="244"/>
      <c r="F932" s="244"/>
      <c r="G932" s="244"/>
      <c r="H932" s="244"/>
      <c r="I932" s="244"/>
      <c r="J932" s="244"/>
      <c r="K932" s="244"/>
      <c r="L932" s="244"/>
      <c r="M932" s="244"/>
      <c r="N932" s="244"/>
      <c r="O932" s="244"/>
      <c r="P932" s="244"/>
    </row>
    <row r="933" spans="5:16">
      <c r="E933" s="244"/>
      <c r="F933" s="244"/>
      <c r="G933" s="244"/>
      <c r="H933" s="244"/>
      <c r="I933" s="244"/>
      <c r="J933" s="244"/>
      <c r="K933" s="244"/>
      <c r="L933" s="244"/>
      <c r="M933" s="244"/>
      <c r="N933" s="244"/>
      <c r="O933" s="244"/>
      <c r="P933" s="244"/>
    </row>
    <row r="934" spans="5:16">
      <c r="E934" s="244"/>
      <c r="F934" s="244"/>
      <c r="G934" s="244"/>
      <c r="H934" s="244"/>
      <c r="I934" s="244"/>
      <c r="J934" s="244"/>
      <c r="K934" s="244"/>
      <c r="L934" s="244"/>
      <c r="M934" s="244"/>
      <c r="N934" s="244"/>
      <c r="O934" s="244"/>
      <c r="P934" s="244"/>
    </row>
    <row r="935" spans="5:16">
      <c r="E935" s="244"/>
      <c r="F935" s="244"/>
      <c r="G935" s="244"/>
      <c r="H935" s="244"/>
      <c r="I935" s="244"/>
      <c r="J935" s="244"/>
      <c r="K935" s="244"/>
      <c r="L935" s="244"/>
      <c r="M935" s="244"/>
      <c r="N935" s="244"/>
      <c r="O935" s="244"/>
      <c r="P935" s="244"/>
    </row>
    <row r="936" spans="5:16">
      <c r="E936" s="244"/>
      <c r="F936" s="244"/>
      <c r="G936" s="244"/>
      <c r="H936" s="244"/>
      <c r="I936" s="244"/>
      <c r="J936" s="244"/>
      <c r="K936" s="244"/>
      <c r="L936" s="244"/>
      <c r="M936" s="244"/>
      <c r="N936" s="244"/>
      <c r="O936" s="244"/>
      <c r="P936" s="244"/>
    </row>
    <row r="937" spans="5:16">
      <c r="E937" s="244"/>
      <c r="F937" s="244"/>
      <c r="G937" s="244"/>
      <c r="H937" s="244"/>
      <c r="I937" s="244"/>
      <c r="J937" s="244"/>
      <c r="K937" s="244"/>
      <c r="L937" s="244"/>
      <c r="M937" s="244"/>
      <c r="N937" s="244"/>
      <c r="O937" s="244"/>
      <c r="P937" s="244"/>
    </row>
    <row r="938" spans="5:16">
      <c r="E938" s="244"/>
      <c r="F938" s="244"/>
      <c r="G938" s="244"/>
      <c r="H938" s="244"/>
      <c r="I938" s="244"/>
      <c r="J938" s="244"/>
      <c r="K938" s="244"/>
      <c r="L938" s="244"/>
      <c r="M938" s="244"/>
      <c r="N938" s="244"/>
      <c r="O938" s="244"/>
      <c r="P938" s="244"/>
    </row>
    <row r="939" spans="5:16">
      <c r="E939" s="244"/>
      <c r="F939" s="244"/>
      <c r="G939" s="244"/>
      <c r="H939" s="244"/>
      <c r="I939" s="244"/>
      <c r="J939" s="244"/>
      <c r="K939" s="244"/>
      <c r="L939" s="244"/>
      <c r="M939" s="244"/>
      <c r="N939" s="244"/>
      <c r="O939" s="244"/>
      <c r="P939" s="244"/>
    </row>
    <row r="940" spans="5:16">
      <c r="E940" s="244"/>
      <c r="F940" s="244"/>
      <c r="G940" s="244"/>
      <c r="H940" s="244"/>
      <c r="I940" s="244"/>
      <c r="J940" s="244"/>
      <c r="K940" s="244"/>
      <c r="L940" s="244"/>
      <c r="M940" s="244"/>
      <c r="N940" s="244"/>
      <c r="O940" s="244"/>
      <c r="P940" s="244"/>
    </row>
    <row r="941" spans="5:16">
      <c r="E941" s="244"/>
      <c r="F941" s="244"/>
      <c r="G941" s="244"/>
      <c r="H941" s="244"/>
      <c r="I941" s="244"/>
      <c r="J941" s="244"/>
      <c r="K941" s="244"/>
      <c r="L941" s="244"/>
      <c r="M941" s="244"/>
      <c r="N941" s="244"/>
      <c r="O941" s="244"/>
      <c r="P941" s="244"/>
    </row>
    <row r="942" spans="5:16">
      <c r="E942" s="244"/>
      <c r="F942" s="244"/>
      <c r="G942" s="244"/>
      <c r="H942" s="244"/>
      <c r="I942" s="244"/>
      <c r="J942" s="244"/>
      <c r="K942" s="244"/>
      <c r="L942" s="244"/>
      <c r="M942" s="244"/>
      <c r="N942" s="244"/>
      <c r="O942" s="244"/>
      <c r="P942" s="244"/>
    </row>
    <row r="943" spans="5:16">
      <c r="E943" s="244"/>
      <c r="F943" s="244"/>
      <c r="G943" s="244"/>
      <c r="H943" s="244"/>
      <c r="I943" s="244"/>
      <c r="J943" s="244"/>
      <c r="K943" s="244"/>
      <c r="L943" s="244"/>
      <c r="M943" s="244"/>
      <c r="N943" s="244"/>
      <c r="O943" s="244"/>
      <c r="P943" s="244"/>
    </row>
    <row r="944" spans="5:16">
      <c r="E944" s="244"/>
      <c r="F944" s="244"/>
      <c r="G944" s="244"/>
      <c r="H944" s="244"/>
      <c r="I944" s="244"/>
      <c r="J944" s="244"/>
      <c r="K944" s="244"/>
      <c r="L944" s="244"/>
      <c r="M944" s="244"/>
      <c r="N944" s="244"/>
      <c r="O944" s="244"/>
      <c r="P944" s="244"/>
    </row>
    <row r="945" spans="5:16">
      <c r="E945" s="244"/>
      <c r="F945" s="244"/>
      <c r="G945" s="244"/>
      <c r="H945" s="244"/>
      <c r="I945" s="244"/>
      <c r="J945" s="244"/>
      <c r="K945" s="244"/>
      <c r="L945" s="244"/>
      <c r="M945" s="244"/>
      <c r="N945" s="244"/>
      <c r="O945" s="244"/>
      <c r="P945" s="244"/>
    </row>
    <row r="946" spans="5:16">
      <c r="E946" s="244"/>
      <c r="F946" s="244"/>
      <c r="G946" s="244"/>
      <c r="H946" s="244"/>
      <c r="I946" s="244"/>
      <c r="J946" s="244"/>
      <c r="K946" s="244"/>
      <c r="L946" s="244"/>
      <c r="M946" s="244"/>
      <c r="N946" s="244"/>
      <c r="O946" s="244"/>
      <c r="P946" s="244"/>
    </row>
    <row r="947" spans="5:16">
      <c r="E947" s="244"/>
      <c r="F947" s="244"/>
      <c r="G947" s="244"/>
      <c r="H947" s="244"/>
      <c r="I947" s="244"/>
      <c r="J947" s="244"/>
      <c r="K947" s="244"/>
      <c r="L947" s="244"/>
      <c r="M947" s="244"/>
      <c r="N947" s="244"/>
      <c r="O947" s="244"/>
      <c r="P947" s="244"/>
    </row>
    <row r="948" spans="5:16">
      <c r="E948" s="244"/>
      <c r="F948" s="244"/>
      <c r="G948" s="244"/>
      <c r="H948" s="244"/>
      <c r="I948" s="244"/>
      <c r="J948" s="244"/>
      <c r="K948" s="244"/>
      <c r="L948" s="244"/>
      <c r="M948" s="244"/>
      <c r="N948" s="244"/>
      <c r="O948" s="244"/>
      <c r="P948" s="244"/>
    </row>
    <row r="949" spans="5:16">
      <c r="E949" s="244"/>
      <c r="F949" s="244"/>
      <c r="G949" s="244"/>
      <c r="H949" s="244"/>
      <c r="I949" s="244"/>
      <c r="J949" s="244"/>
      <c r="K949" s="244"/>
      <c r="L949" s="244"/>
      <c r="M949" s="244"/>
      <c r="N949" s="244"/>
      <c r="O949" s="244"/>
      <c r="P949" s="244"/>
    </row>
    <row r="950" spans="5:16">
      <c r="E950" s="244"/>
      <c r="F950" s="244"/>
      <c r="G950" s="244"/>
      <c r="H950" s="244"/>
      <c r="I950" s="244"/>
      <c r="J950" s="244"/>
      <c r="K950" s="244"/>
      <c r="L950" s="244"/>
      <c r="M950" s="244"/>
      <c r="N950" s="244"/>
      <c r="O950" s="244"/>
      <c r="P950" s="244"/>
    </row>
    <row r="951" spans="5:16">
      <c r="E951" s="244"/>
      <c r="F951" s="244"/>
      <c r="G951" s="244"/>
      <c r="H951" s="244"/>
      <c r="I951" s="244"/>
      <c r="J951" s="244"/>
      <c r="K951" s="244"/>
      <c r="L951" s="244"/>
      <c r="M951" s="244"/>
      <c r="N951" s="244"/>
      <c r="O951" s="244"/>
      <c r="P951" s="244"/>
    </row>
    <row r="952" spans="5:16">
      <c r="E952" s="244"/>
      <c r="F952" s="244"/>
      <c r="G952" s="244"/>
      <c r="H952" s="244"/>
      <c r="I952" s="244"/>
      <c r="J952" s="244"/>
      <c r="K952" s="244"/>
      <c r="L952" s="244"/>
      <c r="M952" s="244"/>
      <c r="N952" s="244"/>
      <c r="O952" s="244"/>
      <c r="P952" s="244"/>
    </row>
    <row r="953" spans="5:16">
      <c r="E953" s="244"/>
      <c r="F953" s="244"/>
      <c r="G953" s="244"/>
      <c r="H953" s="244"/>
      <c r="I953" s="244"/>
      <c r="J953" s="244"/>
      <c r="K953" s="244"/>
      <c r="L953" s="244"/>
      <c r="M953" s="244"/>
      <c r="N953" s="244"/>
      <c r="O953" s="244"/>
      <c r="P953" s="244"/>
    </row>
    <row r="954" spans="5:16">
      <c r="E954" s="244"/>
      <c r="F954" s="244"/>
      <c r="G954" s="244"/>
      <c r="H954" s="244"/>
      <c r="I954" s="244"/>
      <c r="J954" s="244"/>
      <c r="K954" s="244"/>
      <c r="L954" s="244"/>
      <c r="M954" s="244"/>
      <c r="N954" s="244"/>
      <c r="O954" s="244"/>
      <c r="P954" s="244"/>
    </row>
    <row r="955" spans="5:16">
      <c r="E955" s="244"/>
      <c r="F955" s="244"/>
      <c r="G955" s="244"/>
      <c r="H955" s="244"/>
      <c r="I955" s="244"/>
      <c r="J955" s="244"/>
      <c r="K955" s="244"/>
      <c r="L955" s="244"/>
      <c r="M955" s="244"/>
      <c r="N955" s="244"/>
      <c r="O955" s="244"/>
      <c r="P955" s="244"/>
    </row>
    <row r="956" spans="5:16">
      <c r="E956" s="244"/>
      <c r="F956" s="244"/>
      <c r="G956" s="244"/>
      <c r="H956" s="244"/>
      <c r="I956" s="244"/>
      <c r="J956" s="244"/>
      <c r="K956" s="244"/>
      <c r="L956" s="244"/>
      <c r="M956" s="244"/>
      <c r="N956" s="244"/>
      <c r="O956" s="244"/>
      <c r="P956" s="244"/>
    </row>
    <row r="957" spans="5:16">
      <c r="E957" s="244"/>
      <c r="F957" s="244"/>
      <c r="G957" s="244"/>
      <c r="H957" s="244"/>
      <c r="I957" s="244"/>
      <c r="J957" s="244"/>
      <c r="K957" s="244"/>
      <c r="L957" s="244"/>
      <c r="M957" s="244"/>
      <c r="N957" s="244"/>
      <c r="O957" s="244"/>
      <c r="P957" s="244"/>
    </row>
    <row r="958" spans="5:16">
      <c r="E958" s="244"/>
      <c r="F958" s="244"/>
      <c r="G958" s="244"/>
      <c r="H958" s="244"/>
      <c r="I958" s="244"/>
      <c r="J958" s="244"/>
      <c r="K958" s="244"/>
      <c r="L958" s="244"/>
      <c r="M958" s="244"/>
      <c r="N958" s="244"/>
      <c r="O958" s="244"/>
      <c r="P958" s="244"/>
    </row>
    <row r="959" spans="5:16">
      <c r="E959" s="244"/>
      <c r="F959" s="244"/>
      <c r="G959" s="244"/>
      <c r="H959" s="244"/>
      <c r="I959" s="244"/>
      <c r="J959" s="244"/>
      <c r="K959" s="244"/>
      <c r="L959" s="244"/>
      <c r="M959" s="244"/>
      <c r="N959" s="244"/>
      <c r="O959" s="244"/>
      <c r="P959" s="244"/>
    </row>
    <row r="960" spans="5:16">
      <c r="E960" s="244"/>
      <c r="F960" s="244"/>
      <c r="G960" s="244"/>
      <c r="H960" s="244"/>
      <c r="I960" s="244"/>
      <c r="J960" s="244"/>
      <c r="K960" s="244"/>
      <c r="L960" s="244"/>
      <c r="M960" s="244"/>
      <c r="N960" s="244"/>
      <c r="O960" s="244"/>
      <c r="P960" s="244"/>
    </row>
    <row r="961" spans="5:16">
      <c r="E961" s="244"/>
      <c r="F961" s="244"/>
      <c r="G961" s="244"/>
      <c r="H961" s="244"/>
      <c r="I961" s="244"/>
      <c r="J961" s="244"/>
      <c r="K961" s="244"/>
      <c r="L961" s="244"/>
      <c r="M961" s="244"/>
      <c r="N961" s="244"/>
      <c r="O961" s="244"/>
      <c r="P961" s="244"/>
    </row>
    <row r="962" spans="5:16">
      <c r="E962" s="244"/>
      <c r="F962" s="244"/>
      <c r="G962" s="244"/>
      <c r="H962" s="244"/>
      <c r="I962" s="244"/>
      <c r="J962" s="244"/>
      <c r="K962" s="244"/>
      <c r="L962" s="244"/>
      <c r="M962" s="244"/>
      <c r="N962" s="244"/>
      <c r="O962" s="244"/>
      <c r="P962" s="244"/>
    </row>
    <row r="963" spans="5:16">
      <c r="E963" s="244"/>
      <c r="F963" s="244"/>
      <c r="G963" s="244"/>
      <c r="H963" s="244"/>
      <c r="I963" s="244"/>
      <c r="J963" s="244"/>
      <c r="K963" s="244"/>
      <c r="L963" s="244"/>
      <c r="M963" s="244"/>
      <c r="N963" s="244"/>
      <c r="O963" s="244"/>
      <c r="P963" s="244"/>
    </row>
    <row r="964" spans="5:16">
      <c r="E964" s="244"/>
      <c r="F964" s="244"/>
      <c r="G964" s="244"/>
      <c r="H964" s="244"/>
      <c r="I964" s="244"/>
      <c r="J964" s="244"/>
      <c r="K964" s="244"/>
      <c r="L964" s="244"/>
      <c r="M964" s="244"/>
      <c r="N964" s="244"/>
      <c r="O964" s="244"/>
      <c r="P964" s="244"/>
    </row>
    <row r="965" spans="5:16">
      <c r="E965" s="244"/>
      <c r="F965" s="244"/>
      <c r="G965" s="244"/>
      <c r="H965" s="244"/>
      <c r="I965" s="244"/>
      <c r="J965" s="244"/>
      <c r="K965" s="244"/>
      <c r="L965" s="244"/>
      <c r="M965" s="244"/>
      <c r="N965" s="244"/>
      <c r="O965" s="244"/>
      <c r="P965" s="244"/>
    </row>
    <row r="966" spans="5:16">
      <c r="E966" s="244"/>
      <c r="F966" s="244"/>
      <c r="G966" s="244"/>
      <c r="H966" s="244"/>
      <c r="I966" s="244"/>
      <c r="J966" s="244"/>
      <c r="K966" s="244"/>
      <c r="L966" s="244"/>
      <c r="M966" s="244"/>
      <c r="N966" s="244"/>
      <c r="O966" s="244"/>
      <c r="P966" s="244"/>
    </row>
    <row r="967" spans="5:16">
      <c r="E967" s="244"/>
      <c r="F967" s="244"/>
      <c r="G967" s="244"/>
      <c r="H967" s="244"/>
      <c r="I967" s="244"/>
      <c r="J967" s="244"/>
      <c r="K967" s="244"/>
      <c r="L967" s="244"/>
      <c r="M967" s="244"/>
      <c r="N967" s="244"/>
      <c r="O967" s="244"/>
      <c r="P967" s="244"/>
    </row>
    <row r="968" spans="5:16">
      <c r="E968" s="244"/>
      <c r="F968" s="244"/>
      <c r="G968" s="244"/>
      <c r="H968" s="244"/>
      <c r="I968" s="244"/>
      <c r="J968" s="244"/>
      <c r="K968" s="244"/>
      <c r="L968" s="244"/>
      <c r="M968" s="244"/>
      <c r="N968" s="244"/>
      <c r="O968" s="244"/>
      <c r="P968" s="244"/>
    </row>
    <row r="969" spans="5:16">
      <c r="E969" s="244"/>
      <c r="F969" s="244"/>
      <c r="G969" s="244"/>
      <c r="H969" s="244"/>
      <c r="I969" s="244"/>
      <c r="J969" s="244"/>
      <c r="K969" s="244"/>
      <c r="L969" s="244"/>
      <c r="M969" s="244"/>
      <c r="N969" s="244"/>
      <c r="O969" s="244"/>
      <c r="P969" s="244"/>
    </row>
    <row r="970" spans="5:16">
      <c r="E970" s="244"/>
      <c r="F970" s="244"/>
      <c r="G970" s="244"/>
      <c r="H970" s="244"/>
      <c r="I970" s="244"/>
      <c r="J970" s="244"/>
      <c r="K970" s="244"/>
      <c r="L970" s="244"/>
      <c r="M970" s="244"/>
      <c r="N970" s="244"/>
      <c r="O970" s="244"/>
      <c r="P970" s="244"/>
    </row>
    <row r="971" spans="5:16">
      <c r="E971" s="244"/>
      <c r="F971" s="244"/>
      <c r="G971" s="244"/>
      <c r="H971" s="244"/>
      <c r="I971" s="244"/>
      <c r="J971" s="244"/>
      <c r="K971" s="244"/>
      <c r="L971" s="244"/>
      <c r="M971" s="244"/>
      <c r="N971" s="244"/>
      <c r="O971" s="244"/>
      <c r="P971" s="244"/>
    </row>
    <row r="972" spans="5:16">
      <c r="E972" s="244"/>
      <c r="F972" s="244"/>
      <c r="G972" s="244"/>
      <c r="H972" s="244"/>
      <c r="I972" s="244"/>
      <c r="J972" s="244"/>
      <c r="K972" s="244"/>
      <c r="L972" s="244"/>
      <c r="M972" s="244"/>
      <c r="N972" s="244"/>
      <c r="O972" s="244"/>
      <c r="P972" s="244"/>
    </row>
    <row r="973" spans="5:16">
      <c r="E973" s="244"/>
      <c r="F973" s="244"/>
      <c r="G973" s="244"/>
      <c r="H973" s="244"/>
      <c r="I973" s="244"/>
      <c r="J973" s="244"/>
      <c r="K973" s="244"/>
      <c r="L973" s="244"/>
      <c r="M973" s="244"/>
      <c r="N973" s="244"/>
      <c r="O973" s="244"/>
      <c r="P973" s="244"/>
    </row>
    <row r="974" spans="5:16">
      <c r="E974" s="244"/>
      <c r="F974" s="244"/>
      <c r="G974" s="244"/>
      <c r="H974" s="244"/>
      <c r="I974" s="244"/>
      <c r="J974" s="244"/>
      <c r="K974" s="244"/>
      <c r="L974" s="244"/>
      <c r="M974" s="244"/>
      <c r="N974" s="244"/>
      <c r="O974" s="244"/>
      <c r="P974" s="244"/>
    </row>
    <row r="975" spans="5:16">
      <c r="E975" s="244"/>
      <c r="F975" s="244"/>
      <c r="G975" s="244"/>
      <c r="H975" s="244"/>
      <c r="I975" s="244"/>
      <c r="J975" s="244"/>
      <c r="K975" s="244"/>
      <c r="L975" s="244"/>
      <c r="M975" s="244"/>
      <c r="N975" s="244"/>
      <c r="O975" s="244"/>
      <c r="P975" s="244"/>
    </row>
    <row r="976" spans="5:16">
      <c r="E976" s="244"/>
      <c r="F976" s="244"/>
      <c r="G976" s="244"/>
      <c r="H976" s="244"/>
      <c r="I976" s="244"/>
      <c r="J976" s="244"/>
      <c r="K976" s="244"/>
      <c r="L976" s="244"/>
      <c r="M976" s="244"/>
      <c r="N976" s="244"/>
      <c r="O976" s="244"/>
      <c r="P976" s="244"/>
    </row>
    <row r="977" spans="5:16">
      <c r="E977" s="244"/>
      <c r="F977" s="244"/>
      <c r="G977" s="244"/>
      <c r="H977" s="244"/>
      <c r="I977" s="244"/>
      <c r="J977" s="244"/>
      <c r="K977" s="244"/>
      <c r="L977" s="244"/>
      <c r="M977" s="244"/>
      <c r="N977" s="244"/>
      <c r="O977" s="244"/>
      <c r="P977" s="244"/>
    </row>
    <row r="978" spans="5:16">
      <c r="E978" s="244"/>
      <c r="F978" s="244"/>
      <c r="G978" s="244"/>
      <c r="H978" s="244"/>
      <c r="I978" s="244"/>
      <c r="J978" s="244"/>
      <c r="K978" s="244"/>
      <c r="L978" s="244"/>
      <c r="M978" s="244"/>
      <c r="N978" s="244"/>
      <c r="O978" s="244"/>
      <c r="P978" s="244"/>
    </row>
    <row r="979" spans="5:16">
      <c r="E979" s="244"/>
      <c r="F979" s="244"/>
      <c r="G979" s="244"/>
      <c r="H979" s="244"/>
      <c r="I979" s="244"/>
      <c r="J979" s="244"/>
      <c r="K979" s="244"/>
      <c r="L979" s="244"/>
      <c r="M979" s="244"/>
      <c r="N979" s="244"/>
      <c r="O979" s="244"/>
      <c r="P979" s="244"/>
    </row>
    <row r="980" spans="5:16">
      <c r="E980" s="244"/>
      <c r="F980" s="244"/>
      <c r="G980" s="244"/>
      <c r="H980" s="244"/>
      <c r="I980" s="244"/>
      <c r="J980" s="244"/>
      <c r="K980" s="244"/>
      <c r="L980" s="244"/>
      <c r="M980" s="244"/>
      <c r="N980" s="244"/>
      <c r="O980" s="244"/>
      <c r="P980" s="244"/>
    </row>
    <row r="981" spans="5:16">
      <c r="E981" s="244"/>
      <c r="F981" s="244"/>
      <c r="G981" s="244"/>
      <c r="H981" s="244"/>
      <c r="I981" s="244"/>
      <c r="J981" s="244"/>
      <c r="K981" s="244"/>
      <c r="L981" s="244"/>
      <c r="M981" s="244"/>
      <c r="N981" s="244"/>
      <c r="O981" s="244"/>
      <c r="P981" s="244"/>
    </row>
    <row r="982" spans="5:16">
      <c r="E982" s="244"/>
      <c r="F982" s="244"/>
      <c r="G982" s="244"/>
      <c r="H982" s="244"/>
      <c r="I982" s="244"/>
      <c r="J982" s="244"/>
      <c r="K982" s="244"/>
      <c r="L982" s="244"/>
      <c r="M982" s="244"/>
      <c r="N982" s="244"/>
      <c r="O982" s="244"/>
      <c r="P982" s="244"/>
    </row>
    <row r="983" spans="5:16">
      <c r="E983" s="244"/>
      <c r="F983" s="244"/>
      <c r="G983" s="244"/>
      <c r="H983" s="244"/>
      <c r="I983" s="244"/>
      <c r="J983" s="244"/>
      <c r="K983" s="244"/>
      <c r="L983" s="244"/>
      <c r="M983" s="244"/>
      <c r="N983" s="244"/>
      <c r="O983" s="244"/>
      <c r="P983" s="244"/>
    </row>
    <row r="984" spans="5:16">
      <c r="E984" s="244"/>
      <c r="F984" s="244"/>
      <c r="G984" s="244"/>
      <c r="H984" s="244"/>
      <c r="I984" s="244"/>
      <c r="J984" s="244"/>
      <c r="K984" s="244"/>
      <c r="L984" s="244"/>
      <c r="M984" s="244"/>
      <c r="N984" s="244"/>
      <c r="O984" s="244"/>
      <c r="P984" s="244"/>
    </row>
    <row r="985" spans="5:16">
      <c r="E985" s="244"/>
      <c r="F985" s="244"/>
      <c r="G985" s="244"/>
      <c r="H985" s="244"/>
      <c r="I985" s="244"/>
      <c r="J985" s="244"/>
      <c r="K985" s="244"/>
      <c r="L985" s="244"/>
      <c r="M985" s="244"/>
      <c r="N985" s="244"/>
      <c r="O985" s="244"/>
      <c r="P985" s="244"/>
    </row>
    <row r="986" spans="5:16">
      <c r="E986" s="244"/>
      <c r="F986" s="244"/>
      <c r="G986" s="244"/>
      <c r="H986" s="244"/>
      <c r="I986" s="244"/>
      <c r="J986" s="244"/>
      <c r="K986" s="244"/>
      <c r="L986" s="244"/>
      <c r="M986" s="244"/>
      <c r="N986" s="244"/>
      <c r="O986" s="244"/>
      <c r="P986" s="244"/>
    </row>
    <row r="987" spans="5:16">
      <c r="E987" s="244"/>
      <c r="F987" s="244"/>
      <c r="G987" s="244"/>
      <c r="H987" s="244"/>
      <c r="I987" s="244"/>
      <c r="J987" s="244"/>
      <c r="K987" s="244"/>
      <c r="L987" s="244"/>
      <c r="M987" s="244"/>
      <c r="N987" s="244"/>
      <c r="O987" s="244"/>
      <c r="P987" s="244"/>
    </row>
    <row r="988" spans="5:16">
      <c r="E988" s="244"/>
      <c r="F988" s="244"/>
      <c r="G988" s="244"/>
      <c r="H988" s="244"/>
      <c r="I988" s="244"/>
      <c r="J988" s="244"/>
      <c r="K988" s="244"/>
      <c r="L988" s="244"/>
      <c r="M988" s="244"/>
      <c r="N988" s="244"/>
      <c r="O988" s="244"/>
      <c r="P988" s="244"/>
    </row>
    <row r="989" spans="5:16">
      <c r="E989" s="244"/>
      <c r="F989" s="244"/>
      <c r="G989" s="244"/>
      <c r="H989" s="244"/>
      <c r="I989" s="244"/>
      <c r="J989" s="244"/>
      <c r="K989" s="244"/>
      <c r="L989" s="244"/>
      <c r="M989" s="244"/>
      <c r="N989" s="244"/>
      <c r="O989" s="244"/>
      <c r="P989" s="244"/>
    </row>
    <row r="990" spans="5:16">
      <c r="E990" s="244"/>
      <c r="F990" s="244"/>
      <c r="G990" s="244"/>
      <c r="H990" s="244"/>
      <c r="I990" s="244"/>
      <c r="J990" s="244"/>
      <c r="K990" s="244"/>
      <c r="L990" s="244"/>
      <c r="M990" s="244"/>
      <c r="N990" s="244"/>
      <c r="O990" s="244"/>
      <c r="P990" s="244"/>
    </row>
    <row r="991" spans="5:16">
      <c r="E991" s="244"/>
      <c r="F991" s="244"/>
      <c r="G991" s="244"/>
      <c r="H991" s="244"/>
      <c r="I991" s="244"/>
      <c r="J991" s="244"/>
      <c r="K991" s="244"/>
      <c r="L991" s="244"/>
      <c r="M991" s="244"/>
      <c r="N991" s="244"/>
      <c r="O991" s="244"/>
      <c r="P991" s="244"/>
    </row>
    <row r="992" spans="5:16">
      <c r="E992" s="244"/>
      <c r="F992" s="244"/>
      <c r="G992" s="244"/>
      <c r="H992" s="244"/>
      <c r="I992" s="244"/>
      <c r="J992" s="244"/>
      <c r="K992" s="244"/>
      <c r="L992" s="244"/>
      <c r="M992" s="244"/>
      <c r="N992" s="244"/>
      <c r="O992" s="244"/>
      <c r="P992" s="244"/>
    </row>
    <row r="993" spans="5:16">
      <c r="E993" s="244"/>
      <c r="F993" s="244"/>
      <c r="G993" s="244"/>
      <c r="H993" s="244"/>
      <c r="I993" s="244"/>
      <c r="J993" s="244"/>
      <c r="K993" s="244"/>
      <c r="L993" s="244"/>
      <c r="M993" s="244"/>
      <c r="N993" s="244"/>
      <c r="O993" s="244"/>
      <c r="P993" s="244"/>
    </row>
    <row r="994" spans="5:16">
      <c r="E994" s="244"/>
      <c r="F994" s="244"/>
      <c r="G994" s="244"/>
      <c r="H994" s="244"/>
      <c r="I994" s="244"/>
      <c r="J994" s="244"/>
      <c r="K994" s="244"/>
      <c r="L994" s="244"/>
      <c r="M994" s="244"/>
      <c r="N994" s="244"/>
      <c r="O994" s="244"/>
      <c r="P994" s="244"/>
    </row>
    <row r="995" spans="5:16">
      <c r="E995" s="244"/>
      <c r="F995" s="244"/>
      <c r="G995" s="244"/>
      <c r="H995" s="244"/>
      <c r="I995" s="244"/>
      <c r="J995" s="244"/>
      <c r="K995" s="244"/>
      <c r="L995" s="244"/>
      <c r="M995" s="244"/>
      <c r="N995" s="244"/>
      <c r="O995" s="244"/>
      <c r="P995" s="244"/>
    </row>
    <row r="996" spans="5:16">
      <c r="E996" s="244"/>
      <c r="F996" s="244"/>
      <c r="G996" s="244"/>
      <c r="H996" s="244"/>
      <c r="I996" s="244"/>
      <c r="J996" s="244"/>
      <c r="K996" s="244"/>
      <c r="L996" s="244"/>
      <c r="M996" s="244"/>
      <c r="N996" s="244"/>
      <c r="O996" s="244"/>
      <c r="P996" s="244"/>
    </row>
    <row r="997" spans="5:16">
      <c r="E997" s="244"/>
      <c r="F997" s="244"/>
      <c r="G997" s="244"/>
      <c r="H997" s="244"/>
      <c r="I997" s="244"/>
      <c r="J997" s="244"/>
      <c r="K997" s="244"/>
      <c r="L997" s="244"/>
      <c r="M997" s="244"/>
      <c r="N997" s="244"/>
      <c r="O997" s="244"/>
      <c r="P997" s="244"/>
    </row>
    <row r="998" spans="5:16">
      <c r="E998" s="244"/>
      <c r="F998" s="244"/>
      <c r="G998" s="244"/>
      <c r="H998" s="244"/>
      <c r="I998" s="244"/>
      <c r="J998" s="244"/>
      <c r="K998" s="244"/>
      <c r="L998" s="244"/>
      <c r="M998" s="244"/>
      <c r="N998" s="244"/>
      <c r="O998" s="244"/>
      <c r="P998" s="244"/>
    </row>
    <row r="999" spans="5:16">
      <c r="E999" s="244"/>
      <c r="F999" s="244"/>
      <c r="G999" s="244"/>
      <c r="H999" s="244"/>
      <c r="I999" s="244"/>
      <c r="J999" s="244"/>
      <c r="K999" s="244"/>
      <c r="L999" s="244"/>
      <c r="M999" s="244"/>
      <c r="N999" s="244"/>
      <c r="O999" s="244"/>
      <c r="P999" s="244"/>
    </row>
    <row r="1000" spans="5:16">
      <c r="E1000" s="244"/>
      <c r="F1000" s="244"/>
      <c r="G1000" s="244"/>
      <c r="H1000" s="244"/>
      <c r="I1000" s="244"/>
      <c r="J1000" s="244"/>
      <c r="K1000" s="244"/>
      <c r="L1000" s="244"/>
      <c r="M1000" s="244"/>
      <c r="N1000" s="244"/>
      <c r="O1000" s="244"/>
      <c r="P1000" s="244"/>
    </row>
    <row r="1001" spans="5:16">
      <c r="E1001" s="244"/>
      <c r="F1001" s="244"/>
      <c r="G1001" s="244"/>
      <c r="H1001" s="244"/>
      <c r="I1001" s="244"/>
      <c r="J1001" s="244"/>
      <c r="K1001" s="244"/>
      <c r="L1001" s="244"/>
      <c r="M1001" s="244"/>
      <c r="N1001" s="244"/>
      <c r="O1001" s="244"/>
      <c r="P1001" s="244"/>
    </row>
    <row r="1002" spans="5:16">
      <c r="E1002" s="244"/>
      <c r="F1002" s="244"/>
      <c r="G1002" s="244"/>
      <c r="H1002" s="244"/>
      <c r="I1002" s="244"/>
      <c r="J1002" s="244"/>
      <c r="K1002" s="244"/>
      <c r="L1002" s="244"/>
      <c r="M1002" s="244"/>
      <c r="N1002" s="244"/>
      <c r="O1002" s="244"/>
      <c r="P1002" s="244"/>
    </row>
    <row r="1003" spans="5:16">
      <c r="E1003" s="244"/>
      <c r="F1003" s="244"/>
      <c r="G1003" s="244"/>
      <c r="H1003" s="244"/>
      <c r="I1003" s="244"/>
      <c r="J1003" s="244"/>
      <c r="K1003" s="244"/>
      <c r="L1003" s="244"/>
      <c r="M1003" s="244"/>
      <c r="N1003" s="244"/>
      <c r="O1003" s="244"/>
      <c r="P1003" s="244"/>
    </row>
    <row r="1004" spans="5:16">
      <c r="E1004" s="244"/>
      <c r="F1004" s="244"/>
      <c r="G1004" s="244"/>
      <c r="H1004" s="244"/>
      <c r="I1004" s="244"/>
      <c r="J1004" s="244"/>
      <c r="K1004" s="244"/>
      <c r="L1004" s="244"/>
      <c r="M1004" s="244"/>
      <c r="N1004" s="244"/>
      <c r="O1004" s="244"/>
      <c r="P1004" s="244"/>
    </row>
    <row r="1005" spans="5:16">
      <c r="E1005" s="244"/>
      <c r="F1005" s="244"/>
      <c r="G1005" s="244"/>
      <c r="H1005" s="244"/>
      <c r="I1005" s="244"/>
      <c r="J1005" s="244"/>
      <c r="K1005" s="244"/>
      <c r="L1005" s="244"/>
      <c r="M1005" s="244"/>
      <c r="N1005" s="244"/>
      <c r="O1005" s="244"/>
      <c r="P1005" s="244"/>
    </row>
    <row r="1006" spans="5:16">
      <c r="E1006" s="244"/>
      <c r="F1006" s="244"/>
      <c r="G1006" s="244"/>
      <c r="H1006" s="244"/>
      <c r="I1006" s="244"/>
      <c r="J1006" s="244"/>
      <c r="K1006" s="244"/>
      <c r="L1006" s="244"/>
      <c r="M1006" s="244"/>
      <c r="N1006" s="244"/>
      <c r="O1006" s="244"/>
      <c r="P1006" s="244"/>
    </row>
    <row r="1007" spans="5:16">
      <c r="E1007" s="244"/>
      <c r="F1007" s="244"/>
      <c r="G1007" s="244"/>
      <c r="H1007" s="244"/>
      <c r="I1007" s="244"/>
      <c r="J1007" s="244"/>
      <c r="K1007" s="244"/>
      <c r="L1007" s="244"/>
      <c r="M1007" s="244"/>
      <c r="N1007" s="244"/>
      <c r="O1007" s="244"/>
      <c r="P1007" s="244"/>
    </row>
    <row r="1008" spans="5:16">
      <c r="E1008" s="244"/>
      <c r="F1008" s="244"/>
      <c r="G1008" s="244"/>
      <c r="H1008" s="244"/>
      <c r="I1008" s="244"/>
      <c r="J1008" s="244"/>
      <c r="K1008" s="244"/>
      <c r="L1008" s="244"/>
      <c r="M1008" s="244"/>
      <c r="N1008" s="244"/>
      <c r="O1008" s="244"/>
      <c r="P1008" s="244"/>
    </row>
    <row r="1009" spans="5:16">
      <c r="E1009" s="244"/>
      <c r="F1009" s="244"/>
      <c r="G1009" s="244"/>
      <c r="H1009" s="244"/>
      <c r="I1009" s="244"/>
      <c r="J1009" s="244"/>
      <c r="K1009" s="244"/>
      <c r="L1009" s="244"/>
      <c r="M1009" s="244"/>
      <c r="N1009" s="244"/>
      <c r="O1009" s="244"/>
      <c r="P1009" s="244"/>
    </row>
    <row r="1010" spans="5:16">
      <c r="E1010" s="244"/>
      <c r="F1010" s="244"/>
      <c r="G1010" s="244"/>
      <c r="H1010" s="244"/>
      <c r="I1010" s="244"/>
      <c r="J1010" s="244"/>
      <c r="K1010" s="244"/>
      <c r="L1010" s="244"/>
      <c r="M1010" s="244"/>
      <c r="N1010" s="244"/>
      <c r="O1010" s="244"/>
      <c r="P1010" s="244"/>
    </row>
    <row r="1011" spans="5:16">
      <c r="E1011" s="244"/>
      <c r="F1011" s="244"/>
      <c r="G1011" s="244"/>
      <c r="H1011" s="244"/>
      <c r="I1011" s="244"/>
      <c r="J1011" s="244"/>
      <c r="K1011" s="244"/>
      <c r="L1011" s="244"/>
      <c r="M1011" s="244"/>
      <c r="N1011" s="244"/>
      <c r="O1011" s="244"/>
      <c r="P1011" s="244"/>
    </row>
    <row r="1012" spans="5:16">
      <c r="E1012" s="244"/>
      <c r="F1012" s="244"/>
      <c r="G1012" s="244"/>
      <c r="H1012" s="244"/>
      <c r="I1012" s="244"/>
      <c r="J1012" s="244"/>
      <c r="K1012" s="244"/>
      <c r="L1012" s="244"/>
      <c r="M1012" s="244"/>
      <c r="N1012" s="244"/>
      <c r="O1012" s="244"/>
      <c r="P1012" s="244"/>
    </row>
    <row r="1013" spans="5:16">
      <c r="E1013" s="244"/>
      <c r="F1013" s="244"/>
      <c r="G1013" s="244"/>
      <c r="H1013" s="244"/>
      <c r="I1013" s="244"/>
      <c r="J1013" s="244"/>
      <c r="K1013" s="244"/>
      <c r="L1013" s="244"/>
      <c r="M1013" s="244"/>
      <c r="N1013" s="244"/>
      <c r="O1013" s="244"/>
      <c r="P1013" s="244"/>
    </row>
    <row r="1014" spans="5:16">
      <c r="E1014" s="244"/>
      <c r="F1014" s="244"/>
      <c r="G1014" s="244"/>
      <c r="H1014" s="244"/>
      <c r="I1014" s="244"/>
      <c r="J1014" s="244"/>
      <c r="K1014" s="244"/>
      <c r="L1014" s="244"/>
      <c r="M1014" s="244"/>
      <c r="N1014" s="244"/>
      <c r="O1014" s="244"/>
      <c r="P1014" s="244"/>
    </row>
    <row r="1015" spans="5:16">
      <c r="E1015" s="244"/>
      <c r="F1015" s="244"/>
      <c r="G1015" s="244"/>
      <c r="H1015" s="244"/>
      <c r="I1015" s="244"/>
      <c r="J1015" s="244"/>
      <c r="K1015" s="244"/>
      <c r="L1015" s="244"/>
      <c r="M1015" s="244"/>
      <c r="N1015" s="244"/>
      <c r="O1015" s="244"/>
      <c r="P1015" s="244"/>
    </row>
    <row r="1016" spans="5:16">
      <c r="E1016" s="244"/>
      <c r="F1016" s="244"/>
      <c r="G1016" s="244"/>
      <c r="H1016" s="244"/>
      <c r="I1016" s="244"/>
      <c r="J1016" s="244"/>
      <c r="K1016" s="244"/>
      <c r="L1016" s="244"/>
      <c r="M1016" s="244"/>
      <c r="N1016" s="244"/>
      <c r="O1016" s="244"/>
      <c r="P1016" s="244"/>
    </row>
    <row r="1017" spans="5:16">
      <c r="E1017" s="244"/>
      <c r="F1017" s="244"/>
      <c r="G1017" s="244"/>
      <c r="H1017" s="244"/>
      <c r="I1017" s="244"/>
      <c r="J1017" s="244"/>
      <c r="K1017" s="244"/>
      <c r="L1017" s="244"/>
      <c r="M1017" s="244"/>
      <c r="N1017" s="244"/>
      <c r="O1017" s="244"/>
      <c r="P1017" s="244"/>
    </row>
    <row r="1018" spans="5:16">
      <c r="E1018" s="244"/>
      <c r="F1018" s="244"/>
      <c r="G1018" s="244"/>
      <c r="H1018" s="244"/>
      <c r="I1018" s="244"/>
      <c r="J1018" s="244"/>
      <c r="K1018" s="244"/>
      <c r="L1018" s="244"/>
      <c r="M1018" s="244"/>
      <c r="N1018" s="244"/>
      <c r="O1018" s="244"/>
      <c r="P1018" s="244"/>
    </row>
    <row r="1019" spans="5:16">
      <c r="E1019" s="244"/>
      <c r="F1019" s="244"/>
      <c r="G1019" s="244"/>
      <c r="H1019" s="244"/>
      <c r="I1019" s="244"/>
      <c r="J1019" s="244"/>
      <c r="K1019" s="244"/>
      <c r="L1019" s="244"/>
      <c r="M1019" s="244"/>
      <c r="N1019" s="244"/>
      <c r="O1019" s="244"/>
      <c r="P1019" s="244"/>
    </row>
    <row r="1020" spans="5:16">
      <c r="E1020" s="244"/>
      <c r="F1020" s="244"/>
      <c r="G1020" s="244"/>
      <c r="H1020" s="244"/>
      <c r="I1020" s="244"/>
      <c r="J1020" s="244"/>
      <c r="K1020" s="244"/>
      <c r="L1020" s="244"/>
      <c r="M1020" s="244"/>
      <c r="N1020" s="244"/>
      <c r="O1020" s="244"/>
      <c r="P1020" s="244"/>
    </row>
    <row r="1021" spans="5:16">
      <c r="E1021" s="244"/>
      <c r="F1021" s="244"/>
      <c r="G1021" s="244"/>
      <c r="H1021" s="244"/>
      <c r="I1021" s="244"/>
      <c r="J1021" s="244"/>
      <c r="K1021" s="244"/>
      <c r="L1021" s="244"/>
      <c r="M1021" s="244"/>
      <c r="N1021" s="244"/>
      <c r="O1021" s="244"/>
      <c r="P1021" s="244"/>
    </row>
    <row r="1022" spans="5:16">
      <c r="E1022" s="244"/>
      <c r="F1022" s="244"/>
      <c r="G1022" s="244"/>
      <c r="H1022" s="244"/>
      <c r="I1022" s="244"/>
      <c r="J1022" s="244"/>
      <c r="K1022" s="244"/>
      <c r="L1022" s="244"/>
      <c r="M1022" s="244"/>
      <c r="N1022" s="244"/>
      <c r="O1022" s="244"/>
      <c r="P1022" s="244"/>
    </row>
    <row r="1023" spans="5:16">
      <c r="E1023" s="244"/>
      <c r="F1023" s="244"/>
      <c r="G1023" s="244"/>
      <c r="H1023" s="244"/>
      <c r="I1023" s="244"/>
      <c r="J1023" s="244"/>
      <c r="K1023" s="244"/>
      <c r="L1023" s="244"/>
      <c r="M1023" s="244"/>
      <c r="N1023" s="244"/>
      <c r="O1023" s="244"/>
      <c r="P1023" s="244"/>
    </row>
    <row r="1024" spans="5:16">
      <c r="E1024" s="244"/>
      <c r="F1024" s="244"/>
      <c r="G1024" s="244"/>
      <c r="H1024" s="244"/>
      <c r="I1024" s="244"/>
      <c r="J1024" s="244"/>
      <c r="K1024" s="244"/>
      <c r="L1024" s="244"/>
      <c r="M1024" s="244"/>
      <c r="N1024" s="244"/>
      <c r="O1024" s="244"/>
      <c r="P1024" s="244"/>
    </row>
    <row r="1025" spans="5:16">
      <c r="E1025" s="244"/>
      <c r="F1025" s="244"/>
      <c r="G1025" s="244"/>
      <c r="H1025" s="244"/>
      <c r="I1025" s="244"/>
      <c r="J1025" s="244"/>
      <c r="K1025" s="244"/>
      <c r="L1025" s="244"/>
      <c r="M1025" s="244"/>
      <c r="N1025" s="244"/>
      <c r="O1025" s="244"/>
      <c r="P1025" s="244"/>
    </row>
    <row r="1026" spans="5:16">
      <c r="E1026" s="244"/>
      <c r="F1026" s="244"/>
      <c r="G1026" s="244"/>
      <c r="H1026" s="244"/>
      <c r="I1026" s="244"/>
      <c r="J1026" s="244"/>
      <c r="K1026" s="244"/>
      <c r="L1026" s="244"/>
      <c r="M1026" s="244"/>
      <c r="N1026" s="244"/>
      <c r="O1026" s="244"/>
      <c r="P1026" s="244"/>
    </row>
    <row r="1027" spans="5:16">
      <c r="E1027" s="244"/>
      <c r="F1027" s="244"/>
      <c r="G1027" s="244"/>
      <c r="H1027" s="244"/>
      <c r="I1027" s="244"/>
      <c r="J1027" s="244"/>
      <c r="K1027" s="244"/>
      <c r="L1027" s="244"/>
      <c r="M1027" s="244"/>
      <c r="N1027" s="244"/>
      <c r="O1027" s="244"/>
      <c r="P1027" s="244"/>
    </row>
    <row r="1028" spans="5:16">
      <c r="E1028" s="244"/>
      <c r="F1028" s="244"/>
      <c r="G1028" s="244"/>
      <c r="H1028" s="244"/>
      <c r="I1028" s="244"/>
      <c r="J1028" s="244"/>
      <c r="K1028" s="244"/>
      <c r="L1028" s="244"/>
      <c r="M1028" s="244"/>
      <c r="N1028" s="244"/>
      <c r="O1028" s="244"/>
      <c r="P1028" s="244"/>
    </row>
    <row r="1029" spans="5:16">
      <c r="E1029" s="244"/>
      <c r="F1029" s="244"/>
      <c r="G1029" s="244"/>
      <c r="H1029" s="244"/>
      <c r="I1029" s="244"/>
      <c r="J1029" s="244"/>
      <c r="K1029" s="244"/>
      <c r="L1029" s="244"/>
      <c r="M1029" s="244"/>
      <c r="N1029" s="244"/>
      <c r="O1029" s="244"/>
      <c r="P1029" s="244"/>
    </row>
    <row r="1030" spans="5:16">
      <c r="E1030" s="244"/>
      <c r="F1030" s="244"/>
      <c r="G1030" s="244"/>
      <c r="H1030" s="244"/>
      <c r="I1030" s="244"/>
      <c r="J1030" s="244"/>
      <c r="K1030" s="244"/>
      <c r="L1030" s="244"/>
      <c r="M1030" s="244"/>
      <c r="N1030" s="244"/>
      <c r="O1030" s="244"/>
      <c r="P1030" s="244"/>
    </row>
    <row r="1031" spans="5:16">
      <c r="E1031" s="244"/>
      <c r="F1031" s="244"/>
      <c r="G1031" s="244"/>
      <c r="H1031" s="244"/>
      <c r="I1031" s="244"/>
      <c r="J1031" s="244"/>
      <c r="K1031" s="244"/>
      <c r="L1031" s="244"/>
      <c r="M1031" s="244"/>
      <c r="N1031" s="244"/>
      <c r="O1031" s="244"/>
      <c r="P1031" s="244"/>
    </row>
    <row r="1032" spans="5:16">
      <c r="E1032" s="244"/>
      <c r="F1032" s="244"/>
      <c r="G1032" s="244"/>
      <c r="H1032" s="244"/>
      <c r="I1032" s="244"/>
      <c r="J1032" s="244"/>
      <c r="K1032" s="244"/>
      <c r="L1032" s="244"/>
      <c r="M1032" s="244"/>
      <c r="N1032" s="244"/>
      <c r="O1032" s="244"/>
      <c r="P1032" s="244"/>
    </row>
    <row r="1033" spans="5:16">
      <c r="E1033" s="244"/>
      <c r="F1033" s="244"/>
      <c r="G1033" s="244"/>
      <c r="H1033" s="244"/>
      <c r="I1033" s="244"/>
      <c r="J1033" s="244"/>
      <c r="K1033" s="244"/>
      <c r="L1033" s="244"/>
      <c r="M1033" s="244"/>
      <c r="N1033" s="244"/>
      <c r="O1033" s="244"/>
      <c r="P1033" s="244"/>
    </row>
    <row r="1034" spans="5:16">
      <c r="E1034" s="244"/>
      <c r="F1034" s="244"/>
      <c r="G1034" s="244"/>
      <c r="H1034" s="244"/>
      <c r="I1034" s="244"/>
      <c r="J1034" s="244"/>
      <c r="K1034" s="244"/>
      <c r="L1034" s="244"/>
      <c r="M1034" s="244"/>
      <c r="N1034" s="244"/>
      <c r="O1034" s="244"/>
      <c r="P1034" s="244"/>
    </row>
    <row r="1035" spans="5:16">
      <c r="E1035" s="244"/>
      <c r="F1035" s="244"/>
      <c r="G1035" s="244"/>
      <c r="H1035" s="244"/>
      <c r="I1035" s="244"/>
      <c r="J1035" s="244"/>
      <c r="K1035" s="244"/>
      <c r="L1035" s="244"/>
      <c r="M1035" s="244"/>
      <c r="N1035" s="244"/>
      <c r="O1035" s="244"/>
      <c r="P1035" s="244"/>
    </row>
    <row r="1036" spans="5:16">
      <c r="E1036" s="244"/>
      <c r="F1036" s="244"/>
      <c r="G1036" s="244"/>
      <c r="H1036" s="244"/>
      <c r="I1036" s="244"/>
      <c r="J1036" s="244"/>
      <c r="K1036" s="244"/>
      <c r="L1036" s="244"/>
      <c r="M1036" s="244"/>
      <c r="N1036" s="244"/>
      <c r="O1036" s="244"/>
      <c r="P1036" s="244"/>
    </row>
    <row r="1037" spans="5:16">
      <c r="E1037" s="244"/>
      <c r="F1037" s="244"/>
      <c r="G1037" s="244"/>
      <c r="H1037" s="244"/>
      <c r="I1037" s="244"/>
      <c r="J1037" s="244"/>
      <c r="K1037" s="244"/>
      <c r="L1037" s="244"/>
      <c r="M1037" s="244"/>
      <c r="N1037" s="244"/>
      <c r="O1037" s="244"/>
      <c r="P1037" s="244"/>
    </row>
    <row r="1038" spans="5:16">
      <c r="E1038" s="244"/>
      <c r="F1038" s="244"/>
      <c r="G1038" s="244"/>
      <c r="H1038" s="244"/>
      <c r="I1038" s="244"/>
      <c r="J1038" s="244"/>
      <c r="K1038" s="244"/>
      <c r="L1038" s="244"/>
      <c r="M1038" s="244"/>
      <c r="N1038" s="244"/>
      <c r="O1038" s="244"/>
      <c r="P1038" s="244"/>
    </row>
    <row r="1039" spans="5:16">
      <c r="E1039" s="244"/>
      <c r="F1039" s="244"/>
      <c r="G1039" s="244"/>
      <c r="H1039" s="244"/>
      <c r="I1039" s="244"/>
      <c r="J1039" s="244"/>
      <c r="K1039" s="244"/>
      <c r="L1039" s="244"/>
      <c r="M1039" s="244"/>
      <c r="N1039" s="244"/>
      <c r="O1039" s="244"/>
      <c r="P1039" s="244"/>
    </row>
    <row r="1040" spans="5:16">
      <c r="E1040" s="244"/>
      <c r="F1040" s="244"/>
      <c r="G1040" s="244"/>
      <c r="H1040" s="244"/>
      <c r="I1040" s="244"/>
      <c r="J1040" s="244"/>
      <c r="K1040" s="244"/>
      <c r="L1040" s="244"/>
      <c r="M1040" s="244"/>
      <c r="N1040" s="244"/>
      <c r="O1040" s="244"/>
      <c r="P1040" s="244"/>
    </row>
    <row r="1041" spans="5:16">
      <c r="E1041" s="244"/>
      <c r="F1041" s="244"/>
      <c r="G1041" s="244"/>
      <c r="H1041" s="244"/>
      <c r="I1041" s="244"/>
      <c r="J1041" s="244"/>
      <c r="K1041" s="244"/>
      <c r="L1041" s="244"/>
      <c r="M1041" s="244"/>
      <c r="N1041" s="244"/>
      <c r="O1041" s="244"/>
      <c r="P1041" s="244"/>
    </row>
    <row r="1042" spans="5:16">
      <c r="E1042" s="244"/>
      <c r="F1042" s="244"/>
      <c r="G1042" s="244"/>
      <c r="H1042" s="244"/>
      <c r="I1042" s="244"/>
      <c r="J1042" s="244"/>
      <c r="K1042" s="244"/>
      <c r="L1042" s="244"/>
      <c r="M1042" s="244"/>
      <c r="N1042" s="244"/>
      <c r="O1042" s="244"/>
      <c r="P1042" s="244"/>
    </row>
    <row r="1043" spans="5:16">
      <c r="E1043" s="244"/>
      <c r="F1043" s="244"/>
      <c r="G1043" s="244"/>
      <c r="H1043" s="244"/>
      <c r="I1043" s="244"/>
      <c r="J1043" s="244"/>
      <c r="K1043" s="244"/>
      <c r="L1043" s="244"/>
      <c r="M1043" s="244"/>
      <c r="N1043" s="244"/>
      <c r="O1043" s="244"/>
      <c r="P1043" s="244"/>
    </row>
    <row r="1044" spans="5:16">
      <c r="E1044" s="244"/>
      <c r="F1044" s="244"/>
      <c r="G1044" s="244"/>
      <c r="H1044" s="244"/>
      <c r="I1044" s="244"/>
      <c r="J1044" s="244"/>
      <c r="K1044" s="244"/>
      <c r="L1044" s="244"/>
      <c r="M1044" s="244"/>
      <c r="N1044" s="244"/>
      <c r="O1044" s="244"/>
      <c r="P1044" s="244"/>
    </row>
    <row r="1045" spans="5:16">
      <c r="E1045" s="244"/>
      <c r="F1045" s="244"/>
      <c r="G1045" s="244"/>
      <c r="H1045" s="244"/>
      <c r="I1045" s="244"/>
      <c r="J1045" s="244"/>
      <c r="K1045" s="244"/>
      <c r="L1045" s="244"/>
      <c r="M1045" s="244"/>
      <c r="N1045" s="244"/>
      <c r="O1045" s="244"/>
      <c r="P1045" s="244"/>
    </row>
    <row r="1046" spans="5:16">
      <c r="E1046" s="244"/>
      <c r="F1046" s="244"/>
      <c r="G1046" s="244"/>
      <c r="H1046" s="244"/>
      <c r="I1046" s="244"/>
      <c r="J1046" s="244"/>
      <c r="K1046" s="244"/>
      <c r="L1046" s="244"/>
      <c r="M1046" s="244"/>
      <c r="N1046" s="244"/>
      <c r="O1046" s="244"/>
      <c r="P1046" s="244"/>
    </row>
    <row r="1047" spans="5:16">
      <c r="E1047" s="244"/>
      <c r="F1047" s="244"/>
      <c r="G1047" s="244"/>
      <c r="H1047" s="244"/>
      <c r="I1047" s="244"/>
      <c r="J1047" s="244"/>
      <c r="K1047" s="244"/>
      <c r="L1047" s="244"/>
      <c r="M1047" s="244"/>
      <c r="N1047" s="244"/>
      <c r="O1047" s="244"/>
      <c r="P1047" s="244"/>
    </row>
    <row r="1048" spans="5:16">
      <c r="E1048" s="244"/>
      <c r="F1048" s="244"/>
      <c r="G1048" s="244"/>
      <c r="H1048" s="244"/>
      <c r="I1048" s="244"/>
      <c r="J1048" s="244"/>
      <c r="K1048" s="244"/>
      <c r="L1048" s="244"/>
      <c r="M1048" s="244"/>
      <c r="N1048" s="244"/>
      <c r="O1048" s="244"/>
      <c r="P1048" s="244"/>
    </row>
    <row r="1049" spans="5:16">
      <c r="E1049" s="244"/>
      <c r="F1049" s="244"/>
      <c r="G1049" s="244"/>
      <c r="H1049" s="244"/>
      <c r="I1049" s="244"/>
      <c r="J1049" s="244"/>
      <c r="K1049" s="244"/>
      <c r="L1049" s="244"/>
      <c r="M1049" s="244"/>
      <c r="N1049" s="244"/>
      <c r="O1049" s="244"/>
      <c r="P1049" s="244"/>
    </row>
    <row r="1050" spans="5:16">
      <c r="E1050" s="244"/>
      <c r="F1050" s="244"/>
      <c r="G1050" s="244"/>
      <c r="H1050" s="244"/>
      <c r="I1050" s="244"/>
      <c r="J1050" s="244"/>
      <c r="K1050" s="244"/>
      <c r="L1050" s="244"/>
      <c r="M1050" s="244"/>
      <c r="N1050" s="244"/>
      <c r="O1050" s="244"/>
      <c r="P1050" s="244"/>
    </row>
    <row r="1051" spans="5:16">
      <c r="E1051" s="244"/>
      <c r="F1051" s="244"/>
      <c r="G1051" s="244"/>
      <c r="H1051" s="244"/>
      <c r="I1051" s="244"/>
      <c r="J1051" s="244"/>
      <c r="K1051" s="244"/>
      <c r="L1051" s="244"/>
      <c r="M1051" s="244"/>
      <c r="N1051" s="244"/>
      <c r="O1051" s="244"/>
      <c r="P1051" s="244"/>
    </row>
    <row r="1052" spans="5:16">
      <c r="E1052" s="244"/>
      <c r="F1052" s="244"/>
      <c r="G1052" s="244"/>
      <c r="H1052" s="244"/>
      <c r="I1052" s="244"/>
      <c r="J1052" s="244"/>
      <c r="K1052" s="244"/>
      <c r="L1052" s="244"/>
      <c r="M1052" s="244"/>
      <c r="N1052" s="244"/>
      <c r="O1052" s="244"/>
      <c r="P1052" s="244"/>
    </row>
    <row r="1053" spans="5:16">
      <c r="E1053" s="244"/>
      <c r="F1053" s="244"/>
      <c r="G1053" s="244"/>
      <c r="H1053" s="244"/>
      <c r="I1053" s="244"/>
      <c r="J1053" s="244"/>
      <c r="K1053" s="244"/>
      <c r="L1053" s="244"/>
      <c r="M1053" s="244"/>
      <c r="N1053" s="244"/>
      <c r="O1053" s="244"/>
      <c r="P1053" s="244"/>
    </row>
    <row r="1054" spans="5:16">
      <c r="E1054" s="244"/>
      <c r="F1054" s="244"/>
      <c r="G1054" s="244"/>
      <c r="H1054" s="244"/>
      <c r="I1054" s="244"/>
      <c r="J1054" s="244"/>
      <c r="K1054" s="244"/>
      <c r="L1054" s="244"/>
      <c r="M1054" s="244"/>
      <c r="N1054" s="244"/>
      <c r="O1054" s="244"/>
      <c r="P1054" s="244"/>
    </row>
    <row r="1055" spans="5:16">
      <c r="E1055" s="244"/>
      <c r="F1055" s="244"/>
      <c r="G1055" s="244"/>
      <c r="H1055" s="244"/>
      <c r="I1055" s="244"/>
      <c r="J1055" s="244"/>
      <c r="K1055" s="244"/>
      <c r="L1055" s="244"/>
      <c r="M1055" s="244"/>
      <c r="N1055" s="244"/>
      <c r="O1055" s="244"/>
      <c r="P1055" s="244"/>
    </row>
    <row r="1056" spans="5:16">
      <c r="E1056" s="244"/>
      <c r="F1056" s="244"/>
      <c r="G1056" s="244"/>
      <c r="H1056" s="244"/>
      <c r="I1056" s="244"/>
      <c r="J1056" s="244"/>
      <c r="K1056" s="244"/>
      <c r="L1056" s="244"/>
      <c r="M1056" s="244"/>
      <c r="N1056" s="244"/>
      <c r="O1056" s="244"/>
      <c r="P1056" s="244"/>
    </row>
    <row r="1057" spans="5:16">
      <c r="E1057" s="244"/>
      <c r="F1057" s="244"/>
      <c r="G1057" s="244"/>
      <c r="H1057" s="244"/>
      <c r="I1057" s="244"/>
      <c r="J1057" s="244"/>
      <c r="K1057" s="244"/>
      <c r="L1057" s="244"/>
      <c r="M1057" s="244"/>
      <c r="N1057" s="244"/>
      <c r="O1057" s="244"/>
      <c r="P1057" s="244"/>
    </row>
    <row r="1058" spans="5:16">
      <c r="E1058" s="244"/>
      <c r="F1058" s="244"/>
      <c r="G1058" s="244"/>
      <c r="H1058" s="244"/>
      <c r="I1058" s="244"/>
      <c r="J1058" s="244"/>
      <c r="K1058" s="244"/>
      <c r="L1058" s="244"/>
      <c r="M1058" s="244"/>
      <c r="N1058" s="244"/>
      <c r="O1058" s="244"/>
      <c r="P1058" s="244"/>
    </row>
    <row r="1059" spans="5:16">
      <c r="E1059" s="244"/>
      <c r="F1059" s="244"/>
      <c r="G1059" s="244"/>
      <c r="H1059" s="244"/>
      <c r="I1059" s="244"/>
      <c r="J1059" s="244"/>
      <c r="K1059" s="244"/>
      <c r="L1059" s="244"/>
      <c r="M1059" s="244"/>
      <c r="N1059" s="244"/>
      <c r="O1059" s="244"/>
      <c r="P1059" s="244"/>
    </row>
    <row r="1060" spans="5:16">
      <c r="E1060" s="244"/>
      <c r="F1060" s="244"/>
      <c r="G1060" s="244"/>
      <c r="H1060" s="244"/>
      <c r="I1060" s="244"/>
      <c r="J1060" s="244"/>
      <c r="K1060" s="244"/>
      <c r="L1060" s="244"/>
      <c r="M1060" s="244"/>
      <c r="N1060" s="244"/>
      <c r="O1060" s="244"/>
      <c r="P1060" s="244"/>
    </row>
    <row r="1061" spans="5:16">
      <c r="E1061" s="244"/>
      <c r="F1061" s="244"/>
      <c r="G1061" s="244"/>
      <c r="H1061" s="244"/>
      <c r="I1061" s="244"/>
      <c r="J1061" s="244"/>
      <c r="K1061" s="244"/>
      <c r="L1061" s="244"/>
      <c r="M1061" s="244"/>
      <c r="N1061" s="244"/>
      <c r="O1061" s="244"/>
      <c r="P1061" s="244"/>
    </row>
    <row r="1062" spans="5:16">
      <c r="E1062" s="244"/>
      <c r="F1062" s="244"/>
      <c r="G1062" s="244"/>
      <c r="H1062" s="244"/>
      <c r="I1062" s="244"/>
      <c r="J1062" s="244"/>
      <c r="K1062" s="244"/>
      <c r="L1062" s="244"/>
      <c r="M1062" s="244"/>
      <c r="N1062" s="244"/>
      <c r="O1062" s="244"/>
      <c r="P1062" s="244"/>
    </row>
    <row r="1063" spans="5:16">
      <c r="E1063" s="244"/>
      <c r="F1063" s="244"/>
      <c r="G1063" s="244"/>
      <c r="H1063" s="244"/>
      <c r="I1063" s="244"/>
      <c r="J1063" s="244"/>
      <c r="K1063" s="244"/>
      <c r="L1063" s="244"/>
      <c r="M1063" s="244"/>
      <c r="N1063" s="244"/>
      <c r="O1063" s="244"/>
      <c r="P1063" s="244"/>
    </row>
    <row r="1064" spans="5:16">
      <c r="E1064" s="244"/>
      <c r="F1064" s="244"/>
      <c r="G1064" s="244"/>
      <c r="H1064" s="244"/>
      <c r="I1064" s="244"/>
      <c r="J1064" s="244"/>
      <c r="K1064" s="244"/>
      <c r="L1064" s="244"/>
      <c r="M1064" s="244"/>
      <c r="N1064" s="244"/>
      <c r="O1064" s="244"/>
      <c r="P1064" s="244"/>
    </row>
    <row r="1065" spans="5:16">
      <c r="E1065" s="244"/>
      <c r="F1065" s="244"/>
      <c r="G1065" s="244"/>
      <c r="H1065" s="244"/>
      <c r="I1065" s="244"/>
      <c r="J1065" s="244"/>
      <c r="K1065" s="244"/>
      <c r="L1065" s="244"/>
      <c r="M1065" s="244"/>
      <c r="N1065" s="244"/>
      <c r="O1065" s="244"/>
      <c r="P1065" s="244"/>
    </row>
    <row r="1066" spans="5:16">
      <c r="E1066" s="244"/>
      <c r="F1066" s="244"/>
      <c r="G1066" s="244"/>
      <c r="H1066" s="244"/>
      <c r="I1066" s="244"/>
      <c r="J1066" s="244"/>
      <c r="K1066" s="244"/>
      <c r="L1066" s="244"/>
      <c r="M1066" s="244"/>
      <c r="N1066" s="244"/>
      <c r="O1066" s="244"/>
      <c r="P1066" s="244"/>
    </row>
    <row r="1067" spans="5:16">
      <c r="E1067" s="244"/>
      <c r="F1067" s="244"/>
      <c r="G1067" s="244"/>
      <c r="H1067" s="244"/>
      <c r="I1067" s="244"/>
      <c r="J1067" s="244"/>
      <c r="K1067" s="244"/>
      <c r="L1067" s="244"/>
      <c r="M1067" s="244"/>
      <c r="N1067" s="244"/>
      <c r="O1067" s="244"/>
      <c r="P1067" s="244"/>
    </row>
    <row r="1068" spans="5:16">
      <c r="E1068" s="244"/>
      <c r="F1068" s="244"/>
      <c r="G1068" s="244"/>
      <c r="H1068" s="244"/>
      <c r="I1068" s="244"/>
      <c r="J1068" s="244"/>
      <c r="K1068" s="244"/>
      <c r="L1068" s="244"/>
      <c r="M1068" s="244"/>
      <c r="N1068" s="244"/>
      <c r="O1068" s="244"/>
      <c r="P1068" s="244"/>
    </row>
    <row r="1069" spans="5:16">
      <c r="E1069" s="244"/>
      <c r="F1069" s="244"/>
      <c r="G1069" s="244"/>
      <c r="H1069" s="244"/>
      <c r="I1069" s="244"/>
      <c r="J1069" s="244"/>
      <c r="K1069" s="244"/>
      <c r="L1069" s="244"/>
      <c r="M1069" s="244"/>
      <c r="N1069" s="244"/>
      <c r="O1069" s="244"/>
      <c r="P1069" s="244"/>
    </row>
    <row r="1070" spans="5:16">
      <c r="E1070" s="244"/>
      <c r="F1070" s="244"/>
      <c r="G1070" s="244"/>
      <c r="H1070" s="244"/>
      <c r="I1070" s="244"/>
      <c r="J1070" s="244"/>
      <c r="K1070" s="244"/>
      <c r="L1070" s="244"/>
      <c r="M1070" s="244"/>
      <c r="N1070" s="244"/>
      <c r="O1070" s="244"/>
      <c r="P1070" s="244"/>
    </row>
    <row r="1071" spans="5:16">
      <c r="E1071" s="244"/>
      <c r="F1071" s="244"/>
      <c r="G1071" s="244"/>
      <c r="H1071" s="244"/>
      <c r="I1071" s="244"/>
      <c r="J1071" s="244"/>
      <c r="K1071" s="244"/>
      <c r="L1071" s="244"/>
      <c r="M1071" s="244"/>
      <c r="N1071" s="244"/>
      <c r="O1071" s="244"/>
      <c r="P1071" s="244"/>
    </row>
    <row r="1072" spans="5:16">
      <c r="E1072" s="244"/>
      <c r="F1072" s="244"/>
      <c r="G1072" s="244"/>
      <c r="H1072" s="244"/>
      <c r="I1072" s="244"/>
      <c r="J1072" s="244"/>
      <c r="K1072" s="244"/>
      <c r="L1072" s="244"/>
      <c r="M1072" s="244"/>
      <c r="N1072" s="244"/>
      <c r="O1072" s="244"/>
      <c r="P1072" s="244"/>
    </row>
    <row r="1073" spans="5:16">
      <c r="E1073" s="244"/>
      <c r="F1073" s="244"/>
      <c r="G1073" s="244"/>
      <c r="H1073" s="244"/>
      <c r="I1073" s="244"/>
      <c r="J1073" s="244"/>
      <c r="K1073" s="244"/>
      <c r="L1073" s="244"/>
      <c r="M1073" s="244"/>
      <c r="N1073" s="244"/>
      <c r="O1073" s="244"/>
      <c r="P1073" s="244"/>
    </row>
    <row r="1074" spans="5:16">
      <c r="E1074" s="244"/>
      <c r="F1074" s="244"/>
      <c r="G1074" s="244"/>
      <c r="H1074" s="244"/>
      <c r="I1074" s="244"/>
      <c r="J1074" s="244"/>
      <c r="K1074" s="244"/>
      <c r="L1074" s="244"/>
      <c r="M1074" s="244"/>
      <c r="N1074" s="244"/>
      <c r="O1074" s="244"/>
      <c r="P1074" s="244"/>
    </row>
    <row r="1075" spans="5:16">
      <c r="E1075" s="244"/>
      <c r="F1075" s="244"/>
      <c r="G1075" s="244"/>
      <c r="H1075" s="244"/>
      <c r="I1075" s="244"/>
      <c r="J1075" s="244"/>
      <c r="K1075" s="244"/>
      <c r="L1075" s="244"/>
      <c r="M1075" s="244"/>
      <c r="N1075" s="244"/>
      <c r="O1075" s="244"/>
      <c r="P1075" s="244"/>
    </row>
    <row r="1076" spans="5:16">
      <c r="E1076" s="244"/>
      <c r="F1076" s="244"/>
      <c r="G1076" s="244"/>
      <c r="H1076" s="244"/>
      <c r="I1076" s="244"/>
      <c r="J1076" s="244"/>
      <c r="K1076" s="244"/>
      <c r="L1076" s="244"/>
      <c r="M1076" s="244"/>
      <c r="N1076" s="244"/>
      <c r="O1076" s="244"/>
      <c r="P1076" s="244"/>
    </row>
    <row r="1077" spans="5:16">
      <c r="E1077" s="244"/>
      <c r="F1077" s="244"/>
      <c r="G1077" s="244"/>
      <c r="H1077" s="244"/>
      <c r="I1077" s="244"/>
      <c r="J1077" s="244"/>
      <c r="K1077" s="244"/>
      <c r="L1077" s="244"/>
      <c r="M1077" s="244"/>
      <c r="N1077" s="244"/>
      <c r="O1077" s="244"/>
      <c r="P1077" s="244"/>
    </row>
    <row r="1078" spans="5:16">
      <c r="E1078" s="244"/>
      <c r="F1078" s="244"/>
      <c r="G1078" s="244"/>
      <c r="H1078" s="244"/>
      <c r="I1078" s="244"/>
      <c r="J1078" s="244"/>
      <c r="K1078" s="244"/>
      <c r="L1078" s="244"/>
      <c r="M1078" s="244"/>
      <c r="N1078" s="244"/>
      <c r="O1078" s="244"/>
      <c r="P1078" s="244"/>
    </row>
    <row r="1079" spans="5:16">
      <c r="E1079" s="244"/>
      <c r="F1079" s="244"/>
      <c r="G1079" s="244"/>
      <c r="H1079" s="244"/>
      <c r="I1079" s="244"/>
      <c r="J1079" s="244"/>
      <c r="K1079" s="244"/>
      <c r="L1079" s="244"/>
      <c r="M1079" s="244"/>
      <c r="N1079" s="244"/>
      <c r="O1079" s="244"/>
      <c r="P1079" s="244"/>
    </row>
    <row r="1080" spans="5:16">
      <c r="E1080" s="244"/>
      <c r="F1080" s="244"/>
      <c r="G1080" s="244"/>
      <c r="H1080" s="244"/>
      <c r="I1080" s="244"/>
      <c r="J1080" s="244"/>
      <c r="K1080" s="244"/>
      <c r="L1080" s="244"/>
      <c r="M1080" s="244"/>
      <c r="N1080" s="244"/>
      <c r="O1080" s="244"/>
      <c r="P1080" s="244"/>
    </row>
    <row r="1081" spans="5:16">
      <c r="E1081" s="244"/>
      <c r="F1081" s="244"/>
      <c r="G1081" s="244"/>
      <c r="H1081" s="244"/>
      <c r="I1081" s="244"/>
      <c r="J1081" s="244"/>
      <c r="K1081" s="244"/>
      <c r="L1081" s="244"/>
      <c r="M1081" s="244"/>
      <c r="N1081" s="244"/>
      <c r="O1081" s="244"/>
      <c r="P1081" s="244"/>
    </row>
    <row r="1082" spans="5:16">
      <c r="E1082" s="244"/>
      <c r="F1082" s="244"/>
      <c r="G1082" s="244"/>
      <c r="H1082" s="244"/>
      <c r="I1082" s="244"/>
      <c r="J1082" s="244"/>
      <c r="K1082" s="244"/>
      <c r="L1082" s="244"/>
      <c r="M1082" s="244"/>
      <c r="N1082" s="244"/>
      <c r="O1082" s="244"/>
      <c r="P1082" s="244"/>
    </row>
    <row r="1083" spans="5:16">
      <c r="E1083" s="244"/>
      <c r="F1083" s="244"/>
      <c r="G1083" s="244"/>
      <c r="H1083" s="244"/>
      <c r="I1083" s="244"/>
      <c r="J1083" s="244"/>
      <c r="K1083" s="244"/>
      <c r="L1083" s="244"/>
      <c r="M1083" s="244"/>
      <c r="N1083" s="244"/>
      <c r="O1083" s="244"/>
      <c r="P1083" s="244"/>
    </row>
    <row r="1084" spans="5:16">
      <c r="E1084" s="244"/>
      <c r="F1084" s="244"/>
      <c r="G1084" s="244"/>
      <c r="H1084" s="244"/>
      <c r="I1084" s="244"/>
      <c r="J1084" s="244"/>
      <c r="K1084" s="244"/>
      <c r="L1084" s="244"/>
      <c r="M1084" s="244"/>
      <c r="N1084" s="244"/>
      <c r="O1084" s="244"/>
      <c r="P1084" s="244"/>
    </row>
    <row r="1085" spans="5:16">
      <c r="E1085" s="244"/>
      <c r="F1085" s="244"/>
      <c r="G1085" s="244"/>
      <c r="H1085" s="244"/>
      <c r="I1085" s="244"/>
      <c r="J1085" s="244"/>
      <c r="K1085" s="244"/>
      <c r="L1085" s="244"/>
      <c r="M1085" s="244"/>
      <c r="N1085" s="244"/>
      <c r="O1085" s="244"/>
      <c r="P1085" s="244"/>
    </row>
    <row r="1086" spans="5:16">
      <c r="E1086" s="244"/>
      <c r="F1086" s="244"/>
      <c r="G1086" s="244"/>
      <c r="H1086" s="244"/>
      <c r="I1086" s="244"/>
      <c r="J1086" s="244"/>
      <c r="K1086" s="244"/>
      <c r="L1086" s="244"/>
      <c r="M1086" s="244"/>
      <c r="N1086" s="244"/>
      <c r="O1086" s="244"/>
      <c r="P1086" s="244"/>
    </row>
    <row r="1087" spans="5:16">
      <c r="E1087" s="244"/>
      <c r="F1087" s="244"/>
      <c r="G1087" s="244"/>
      <c r="H1087" s="244"/>
      <c r="I1087" s="244"/>
      <c r="J1087" s="244"/>
      <c r="K1087" s="244"/>
      <c r="L1087" s="244"/>
      <c r="M1087" s="244"/>
      <c r="N1087" s="244"/>
      <c r="O1087" s="244"/>
      <c r="P1087" s="244"/>
    </row>
    <row r="1088" spans="5:16">
      <c r="E1088" s="244"/>
      <c r="F1088" s="244"/>
      <c r="G1088" s="244"/>
      <c r="H1088" s="244"/>
      <c r="I1088" s="244"/>
      <c r="J1088" s="244"/>
      <c r="K1088" s="244"/>
      <c r="L1088" s="244"/>
      <c r="M1088" s="244"/>
      <c r="N1088" s="244"/>
      <c r="O1088" s="244"/>
      <c r="P1088" s="244"/>
    </row>
    <row r="1089" spans="5:16">
      <c r="E1089" s="244"/>
      <c r="F1089" s="244"/>
      <c r="G1089" s="244"/>
      <c r="H1089" s="244"/>
      <c r="I1089" s="244"/>
      <c r="J1089" s="244"/>
      <c r="K1089" s="244"/>
      <c r="L1089" s="244"/>
      <c r="M1089" s="244"/>
      <c r="N1089" s="244"/>
      <c r="O1089" s="244"/>
      <c r="P1089" s="244"/>
    </row>
    <row r="1090" spans="5:16">
      <c r="E1090" s="244"/>
      <c r="F1090" s="244"/>
      <c r="G1090" s="244"/>
      <c r="H1090" s="244"/>
      <c r="I1090" s="244"/>
      <c r="J1090" s="244"/>
      <c r="K1090" s="244"/>
      <c r="L1090" s="244"/>
      <c r="M1090" s="244"/>
      <c r="N1090" s="244"/>
      <c r="O1090" s="244"/>
      <c r="P1090" s="244"/>
    </row>
    <row r="1091" spans="5:16">
      <c r="E1091" s="244"/>
      <c r="F1091" s="244"/>
      <c r="G1091" s="244"/>
      <c r="H1091" s="244"/>
      <c r="I1091" s="244"/>
      <c r="J1091" s="244"/>
      <c r="K1091" s="244"/>
      <c r="L1091" s="244"/>
      <c r="M1091" s="244"/>
      <c r="N1091" s="244"/>
      <c r="O1091" s="244"/>
      <c r="P1091" s="244"/>
    </row>
    <row r="1092" spans="5:16">
      <c r="E1092" s="244"/>
      <c r="F1092" s="244"/>
      <c r="G1092" s="244"/>
      <c r="H1092" s="244"/>
      <c r="I1092" s="244"/>
      <c r="J1092" s="244"/>
      <c r="K1092" s="244"/>
      <c r="L1092" s="244"/>
      <c r="M1092" s="244"/>
      <c r="N1092" s="244"/>
      <c r="O1092" s="244"/>
      <c r="P1092" s="244"/>
    </row>
    <row r="1093" spans="5:16">
      <c r="E1093" s="244"/>
      <c r="F1093" s="244"/>
      <c r="G1093" s="244"/>
      <c r="H1093" s="244"/>
      <c r="I1093" s="244"/>
      <c r="J1093" s="244"/>
      <c r="K1093" s="244"/>
      <c r="L1093" s="244"/>
      <c r="M1093" s="244"/>
      <c r="N1093" s="244"/>
      <c r="O1093" s="244"/>
      <c r="P1093" s="244"/>
    </row>
    <row r="1094" spans="5:16">
      <c r="E1094" s="244"/>
      <c r="F1094" s="244"/>
      <c r="G1094" s="244"/>
      <c r="H1094" s="244"/>
      <c r="I1094" s="244"/>
      <c r="J1094" s="244"/>
      <c r="K1094" s="244"/>
      <c r="L1094" s="244"/>
      <c r="M1094" s="244"/>
      <c r="N1094" s="244"/>
      <c r="O1094" s="244"/>
      <c r="P1094" s="244"/>
    </row>
    <row r="1095" spans="5:16">
      <c r="E1095" s="244"/>
      <c r="F1095" s="244"/>
      <c r="G1095" s="244"/>
      <c r="H1095" s="244"/>
      <c r="I1095" s="244"/>
      <c r="J1095" s="244"/>
      <c r="K1095" s="244"/>
      <c r="L1095" s="244"/>
      <c r="M1095" s="244"/>
      <c r="N1095" s="244"/>
      <c r="O1095" s="244"/>
      <c r="P1095" s="244"/>
    </row>
    <row r="1096" spans="5:16">
      <c r="E1096" s="244"/>
      <c r="F1096" s="244"/>
      <c r="G1096" s="244"/>
      <c r="H1096" s="244"/>
      <c r="I1096" s="244"/>
      <c r="J1096" s="244"/>
      <c r="K1096" s="244"/>
      <c r="L1096" s="244"/>
      <c r="M1096" s="244"/>
      <c r="N1096" s="244"/>
      <c r="O1096" s="244"/>
      <c r="P1096" s="244"/>
    </row>
    <row r="1097" spans="5:16">
      <c r="E1097" s="244"/>
      <c r="F1097" s="244"/>
      <c r="G1097" s="244"/>
      <c r="H1097" s="244"/>
      <c r="I1097" s="244"/>
      <c r="J1097" s="244"/>
      <c r="K1097" s="244"/>
      <c r="L1097" s="244"/>
      <c r="M1097" s="244"/>
      <c r="N1097" s="244"/>
      <c r="O1097" s="244"/>
      <c r="P1097" s="244"/>
    </row>
    <row r="1098" spans="5:16">
      <c r="E1098" s="244"/>
      <c r="F1098" s="244"/>
      <c r="G1098" s="244"/>
      <c r="H1098" s="244"/>
      <c r="I1098" s="244"/>
      <c r="J1098" s="244"/>
      <c r="K1098" s="244"/>
      <c r="L1098" s="244"/>
      <c r="M1098" s="244"/>
      <c r="N1098" s="244"/>
      <c r="O1098" s="244"/>
      <c r="P1098" s="244"/>
    </row>
    <row r="1099" spans="5:16">
      <c r="E1099" s="244"/>
      <c r="F1099" s="244"/>
      <c r="G1099" s="244"/>
      <c r="H1099" s="244"/>
      <c r="I1099" s="244"/>
      <c r="J1099" s="244"/>
      <c r="K1099" s="244"/>
      <c r="L1099" s="244"/>
      <c r="M1099" s="244"/>
      <c r="N1099" s="244"/>
      <c r="O1099" s="244"/>
      <c r="P1099" s="244"/>
    </row>
    <row r="1100" spans="5:16">
      <c r="E1100" s="244"/>
      <c r="F1100" s="244"/>
      <c r="G1100" s="244"/>
      <c r="H1100" s="244"/>
      <c r="I1100" s="244"/>
      <c r="J1100" s="244"/>
      <c r="K1100" s="244"/>
      <c r="L1100" s="244"/>
      <c r="M1100" s="244"/>
      <c r="N1100" s="244"/>
      <c r="O1100" s="244"/>
      <c r="P1100" s="244"/>
    </row>
    <row r="1101" spans="5:16">
      <c r="E1101" s="244"/>
      <c r="F1101" s="244"/>
      <c r="G1101" s="244"/>
      <c r="H1101" s="244"/>
      <c r="I1101" s="244"/>
      <c r="J1101" s="244"/>
      <c r="K1101" s="244"/>
      <c r="L1101" s="244"/>
      <c r="M1101" s="244"/>
      <c r="N1101" s="244"/>
      <c r="O1101" s="244"/>
      <c r="P1101" s="244"/>
    </row>
    <row r="1102" spans="5:16">
      <c r="E1102" s="244"/>
      <c r="F1102" s="244"/>
      <c r="G1102" s="244"/>
      <c r="H1102" s="244"/>
      <c r="I1102" s="244"/>
      <c r="J1102" s="244"/>
      <c r="K1102" s="244"/>
      <c r="L1102" s="244"/>
      <c r="M1102" s="244"/>
      <c r="N1102" s="244"/>
      <c r="O1102" s="244"/>
      <c r="P1102" s="244"/>
    </row>
    <row r="1103" spans="5:16">
      <c r="E1103" s="244"/>
      <c r="F1103" s="244"/>
      <c r="G1103" s="244"/>
      <c r="H1103" s="244"/>
      <c r="I1103" s="244"/>
      <c r="J1103" s="244"/>
      <c r="K1103" s="244"/>
      <c r="L1103" s="244"/>
      <c r="M1103" s="244"/>
      <c r="N1103" s="244"/>
      <c r="O1103" s="244"/>
      <c r="P1103" s="244"/>
    </row>
    <row r="1104" spans="5:16">
      <c r="E1104" s="244"/>
      <c r="F1104" s="244"/>
      <c r="G1104" s="244"/>
      <c r="H1104" s="244"/>
      <c r="I1104" s="244"/>
      <c r="J1104" s="244"/>
      <c r="K1104" s="244"/>
      <c r="L1104" s="244"/>
      <c r="M1104" s="244"/>
      <c r="N1104" s="244"/>
      <c r="O1104" s="244"/>
      <c r="P1104" s="244"/>
    </row>
    <row r="1105" spans="5:16">
      <c r="E1105" s="244"/>
      <c r="F1105" s="244"/>
      <c r="G1105" s="244"/>
      <c r="H1105" s="244"/>
      <c r="I1105" s="244"/>
      <c r="J1105" s="244"/>
      <c r="K1105" s="244"/>
      <c r="L1105" s="244"/>
      <c r="M1105" s="244"/>
      <c r="N1105" s="244"/>
      <c r="O1105" s="244"/>
      <c r="P1105" s="244"/>
    </row>
    <row r="1106" spans="5:16">
      <c r="E1106" s="244"/>
      <c r="F1106" s="244"/>
      <c r="G1106" s="244"/>
      <c r="H1106" s="244"/>
      <c r="I1106" s="244"/>
      <c r="J1106" s="244"/>
      <c r="K1106" s="244"/>
      <c r="L1106" s="244"/>
      <c r="M1106" s="244"/>
      <c r="N1106" s="244"/>
      <c r="O1106" s="244"/>
      <c r="P1106" s="244"/>
    </row>
    <row r="1107" spans="5:16">
      <c r="E1107" s="244"/>
      <c r="F1107" s="244"/>
      <c r="G1107" s="244"/>
      <c r="H1107" s="244"/>
      <c r="I1107" s="244"/>
      <c r="J1107" s="244"/>
      <c r="K1107" s="244"/>
      <c r="L1107" s="244"/>
      <c r="M1107" s="244"/>
      <c r="N1107" s="244"/>
      <c r="O1107" s="244"/>
      <c r="P1107" s="244"/>
    </row>
    <row r="1108" spans="5:16">
      <c r="E1108" s="244"/>
      <c r="F1108" s="244"/>
      <c r="G1108" s="244"/>
      <c r="H1108" s="244"/>
      <c r="I1108" s="244"/>
      <c r="J1108" s="244"/>
      <c r="K1108" s="244"/>
      <c r="L1108" s="244"/>
      <c r="M1108" s="244"/>
      <c r="N1108" s="244"/>
      <c r="O1108" s="244"/>
      <c r="P1108" s="244"/>
    </row>
    <row r="1109" spans="5:16">
      <c r="E1109" s="244"/>
      <c r="F1109" s="244"/>
      <c r="G1109" s="244"/>
      <c r="H1109" s="244"/>
      <c r="I1109" s="244"/>
      <c r="J1109" s="244"/>
      <c r="K1109" s="244"/>
      <c r="L1109" s="244"/>
      <c r="M1109" s="244"/>
      <c r="N1109" s="244"/>
      <c r="O1109" s="244"/>
      <c r="P1109" s="244"/>
    </row>
    <row r="1110" spans="5:16">
      <c r="E1110" s="244"/>
      <c r="F1110" s="244"/>
      <c r="G1110" s="244"/>
      <c r="H1110" s="244"/>
      <c r="I1110" s="244"/>
      <c r="J1110" s="244"/>
      <c r="K1110" s="244"/>
      <c r="L1110" s="244"/>
      <c r="M1110" s="244"/>
      <c r="N1110" s="244"/>
      <c r="O1110" s="244"/>
      <c r="P1110" s="244"/>
    </row>
    <row r="1111" spans="5:16">
      <c r="E1111" s="244"/>
      <c r="F1111" s="244"/>
      <c r="G1111" s="244"/>
      <c r="H1111" s="244"/>
      <c r="I1111" s="244"/>
      <c r="J1111" s="244"/>
      <c r="K1111" s="244"/>
      <c r="L1111" s="244"/>
      <c r="M1111" s="244"/>
      <c r="N1111" s="244"/>
      <c r="O1111" s="244"/>
      <c r="P1111" s="244"/>
    </row>
    <row r="1112" spans="5:16">
      <c r="E1112" s="244"/>
      <c r="F1112" s="244"/>
      <c r="G1112" s="244"/>
      <c r="H1112" s="244"/>
      <c r="I1112" s="244"/>
      <c r="J1112" s="244"/>
      <c r="K1112" s="244"/>
      <c r="L1112" s="244"/>
      <c r="M1112" s="244"/>
      <c r="N1112" s="244"/>
      <c r="O1112" s="244"/>
      <c r="P1112" s="244"/>
    </row>
    <row r="1113" spans="5:16">
      <c r="E1113" s="244"/>
      <c r="F1113" s="244"/>
      <c r="G1113" s="244"/>
      <c r="H1113" s="244"/>
      <c r="I1113" s="244"/>
      <c r="J1113" s="244"/>
      <c r="K1113" s="244"/>
      <c r="L1113" s="244"/>
      <c r="M1113" s="244"/>
      <c r="N1113" s="244"/>
      <c r="O1113" s="244"/>
      <c r="P1113" s="244"/>
    </row>
    <row r="1114" spans="5:16">
      <c r="E1114" s="244"/>
      <c r="F1114" s="244"/>
      <c r="G1114" s="244"/>
      <c r="H1114" s="244"/>
      <c r="I1114" s="244"/>
      <c r="J1114" s="244"/>
      <c r="K1114" s="244"/>
      <c r="L1114" s="244"/>
      <c r="M1114" s="244"/>
      <c r="N1114" s="244"/>
      <c r="O1114" s="244"/>
      <c r="P1114" s="244"/>
    </row>
    <row r="1115" spans="5:16">
      <c r="E1115" s="244"/>
      <c r="F1115" s="244"/>
      <c r="G1115" s="244"/>
      <c r="H1115" s="244"/>
      <c r="I1115" s="244"/>
      <c r="J1115" s="244"/>
      <c r="K1115" s="244"/>
      <c r="L1115" s="244"/>
      <c r="M1115" s="244"/>
      <c r="N1115" s="244"/>
      <c r="O1115" s="244"/>
      <c r="P1115" s="244"/>
    </row>
    <row r="1116" spans="5:16">
      <c r="E1116" s="244"/>
      <c r="F1116" s="244"/>
      <c r="G1116" s="244"/>
      <c r="H1116" s="244"/>
      <c r="I1116" s="244"/>
      <c r="J1116" s="244"/>
      <c r="K1116" s="244"/>
      <c r="L1116" s="244"/>
      <c r="M1116" s="244"/>
      <c r="N1116" s="244"/>
      <c r="O1116" s="244"/>
      <c r="P1116" s="244"/>
    </row>
    <row r="1117" spans="5:16">
      <c r="E1117" s="244"/>
      <c r="F1117" s="244"/>
      <c r="G1117" s="244"/>
      <c r="H1117" s="244"/>
      <c r="I1117" s="244"/>
      <c r="J1117" s="244"/>
      <c r="K1117" s="244"/>
      <c r="L1117" s="244"/>
      <c r="M1117" s="244"/>
      <c r="N1117" s="244"/>
      <c r="O1117" s="244"/>
      <c r="P1117" s="244"/>
    </row>
    <row r="1118" spans="5:16">
      <c r="E1118" s="244"/>
      <c r="F1118" s="244"/>
      <c r="G1118" s="244"/>
      <c r="H1118" s="244"/>
      <c r="I1118" s="244"/>
      <c r="J1118" s="244"/>
      <c r="K1118" s="244"/>
      <c r="L1118" s="244"/>
      <c r="M1118" s="244"/>
      <c r="N1118" s="244"/>
      <c r="O1118" s="244"/>
      <c r="P1118" s="244"/>
    </row>
    <row r="1119" spans="5:16">
      <c r="E1119" s="244"/>
      <c r="F1119" s="244"/>
      <c r="G1119" s="244"/>
      <c r="H1119" s="244"/>
      <c r="I1119" s="244"/>
      <c r="J1119" s="244"/>
      <c r="K1119" s="244"/>
      <c r="L1119" s="244"/>
      <c r="M1119" s="244"/>
      <c r="N1119" s="244"/>
      <c r="O1119" s="244"/>
      <c r="P1119" s="244"/>
    </row>
    <row r="1120" spans="5:16">
      <c r="E1120" s="244"/>
      <c r="F1120" s="244"/>
      <c r="G1120" s="244"/>
      <c r="H1120" s="244"/>
      <c r="I1120" s="244"/>
      <c r="J1120" s="244"/>
      <c r="K1120" s="244"/>
      <c r="L1120" s="244"/>
      <c r="M1120" s="244"/>
      <c r="N1120" s="244"/>
      <c r="O1120" s="244"/>
      <c r="P1120" s="244"/>
    </row>
    <row r="1121" spans="5:16">
      <c r="E1121" s="244"/>
      <c r="F1121" s="244"/>
      <c r="G1121" s="244"/>
      <c r="H1121" s="244"/>
      <c r="I1121" s="244"/>
      <c r="J1121" s="244"/>
      <c r="K1121" s="244"/>
      <c r="L1121" s="244"/>
      <c r="M1121" s="244"/>
      <c r="N1121" s="244"/>
      <c r="O1121" s="244"/>
      <c r="P1121" s="244"/>
    </row>
    <row r="1122" spans="5:16">
      <c r="E1122" s="244"/>
      <c r="F1122" s="244"/>
      <c r="G1122" s="244"/>
      <c r="H1122" s="244"/>
      <c r="I1122" s="244"/>
      <c r="J1122" s="244"/>
      <c r="K1122" s="244"/>
      <c r="L1122" s="244"/>
      <c r="M1122" s="244"/>
      <c r="N1122" s="244"/>
      <c r="O1122" s="244"/>
      <c r="P1122" s="244"/>
    </row>
    <row r="1123" spans="5:16">
      <c r="E1123" s="244"/>
      <c r="F1123" s="244"/>
      <c r="G1123" s="244"/>
      <c r="H1123" s="244"/>
      <c r="I1123" s="244"/>
      <c r="J1123" s="244"/>
      <c r="K1123" s="244"/>
      <c r="L1123" s="244"/>
      <c r="M1123" s="244"/>
      <c r="N1123" s="244"/>
      <c r="O1123" s="244"/>
      <c r="P1123" s="244"/>
    </row>
    <row r="1124" spans="5:16">
      <c r="E1124" s="244"/>
      <c r="F1124" s="244"/>
      <c r="G1124" s="244"/>
      <c r="H1124" s="244"/>
      <c r="I1124" s="244"/>
      <c r="J1124" s="244"/>
      <c r="K1124" s="244"/>
      <c r="L1124" s="244"/>
      <c r="M1124" s="244"/>
      <c r="N1124" s="244"/>
      <c r="O1124" s="244"/>
      <c r="P1124" s="244"/>
    </row>
    <row r="1125" spans="5:16">
      <c r="E1125" s="244"/>
      <c r="F1125" s="244"/>
      <c r="G1125" s="244"/>
      <c r="H1125" s="244"/>
      <c r="I1125" s="244"/>
      <c r="J1125" s="244"/>
      <c r="K1125" s="244"/>
      <c r="L1125" s="244"/>
      <c r="M1125" s="244"/>
      <c r="N1125" s="244"/>
      <c r="O1125" s="244"/>
      <c r="P1125" s="244"/>
    </row>
    <row r="1126" spans="5:16">
      <c r="E1126" s="244"/>
      <c r="F1126" s="244"/>
      <c r="G1126" s="244"/>
      <c r="H1126" s="244"/>
      <c r="I1126" s="244"/>
      <c r="J1126" s="244"/>
      <c r="K1126" s="244"/>
      <c r="L1126" s="244"/>
      <c r="M1126" s="244"/>
      <c r="N1126" s="244"/>
      <c r="O1126" s="244"/>
      <c r="P1126" s="244"/>
    </row>
    <row r="1127" spans="5:16">
      <c r="E1127" s="244"/>
      <c r="F1127" s="244"/>
      <c r="G1127" s="244"/>
      <c r="H1127" s="244"/>
      <c r="I1127" s="244"/>
      <c r="J1127" s="244"/>
      <c r="K1127" s="244"/>
      <c r="L1127" s="244"/>
      <c r="M1127" s="244"/>
      <c r="N1127" s="244"/>
      <c r="O1127" s="244"/>
      <c r="P1127" s="244"/>
    </row>
    <row r="1128" spans="5:16">
      <c r="E1128" s="244"/>
      <c r="F1128" s="244"/>
      <c r="G1128" s="244"/>
      <c r="H1128" s="244"/>
      <c r="I1128" s="244"/>
      <c r="J1128" s="244"/>
      <c r="K1128" s="244"/>
      <c r="L1128" s="244"/>
      <c r="M1128" s="244"/>
      <c r="N1128" s="244"/>
      <c r="O1128" s="244"/>
      <c r="P1128" s="244"/>
    </row>
    <row r="1129" spans="5:16">
      <c r="E1129" s="244"/>
      <c r="F1129" s="244"/>
      <c r="G1129" s="244"/>
      <c r="H1129" s="244"/>
      <c r="I1129" s="244"/>
      <c r="J1129" s="244"/>
      <c r="K1129" s="244"/>
      <c r="L1129" s="244"/>
      <c r="M1129" s="244"/>
      <c r="N1129" s="244"/>
      <c r="O1129" s="244"/>
      <c r="P1129" s="244"/>
    </row>
    <row r="1130" spans="5:16">
      <c r="E1130" s="244"/>
      <c r="F1130" s="244"/>
      <c r="G1130" s="244"/>
      <c r="H1130" s="244"/>
      <c r="I1130" s="244"/>
      <c r="J1130" s="244"/>
      <c r="K1130" s="244"/>
      <c r="L1130" s="244"/>
      <c r="M1130" s="244"/>
      <c r="N1130" s="244"/>
      <c r="O1130" s="244"/>
      <c r="P1130" s="244"/>
    </row>
    <row r="1131" spans="5:16">
      <c r="E1131" s="244"/>
      <c r="F1131" s="244"/>
      <c r="G1131" s="244"/>
      <c r="H1131" s="244"/>
      <c r="I1131" s="244"/>
      <c r="J1131" s="244"/>
      <c r="K1131" s="244"/>
      <c r="L1131" s="244"/>
      <c r="M1131" s="244"/>
      <c r="N1131" s="244"/>
      <c r="O1131" s="244"/>
      <c r="P1131" s="244"/>
    </row>
    <row r="1132" spans="5:16">
      <c r="E1132" s="244"/>
      <c r="F1132" s="244"/>
      <c r="G1132" s="244"/>
      <c r="H1132" s="244"/>
      <c r="I1132" s="244"/>
      <c r="J1132" s="244"/>
      <c r="K1132" s="244"/>
      <c r="L1132" s="244"/>
      <c r="M1132" s="244"/>
      <c r="N1132" s="244"/>
      <c r="O1132" s="244"/>
      <c r="P1132" s="244"/>
    </row>
    <row r="1133" spans="5:16">
      <c r="E1133" s="244"/>
      <c r="F1133" s="244"/>
      <c r="G1133" s="244"/>
      <c r="H1133" s="244"/>
      <c r="I1133" s="244"/>
      <c r="J1133" s="244"/>
      <c r="K1133" s="244"/>
      <c r="L1133" s="244"/>
      <c r="M1133" s="244"/>
      <c r="N1133" s="244"/>
      <c r="O1133" s="244"/>
      <c r="P1133" s="244"/>
    </row>
    <row r="1134" spans="5:16">
      <c r="E1134" s="244"/>
      <c r="F1134" s="244"/>
      <c r="G1134" s="244"/>
      <c r="H1134" s="244"/>
      <c r="I1134" s="244"/>
      <c r="J1134" s="244"/>
      <c r="K1134" s="244"/>
      <c r="L1134" s="244"/>
      <c r="M1134" s="244"/>
      <c r="N1134" s="244"/>
      <c r="O1134" s="244"/>
      <c r="P1134" s="244"/>
    </row>
    <row r="1135" spans="5:16">
      <c r="E1135" s="244"/>
      <c r="F1135" s="244"/>
      <c r="G1135" s="244"/>
      <c r="H1135" s="244"/>
      <c r="I1135" s="244"/>
      <c r="J1135" s="244"/>
      <c r="K1135" s="244"/>
      <c r="L1135" s="244"/>
      <c r="M1135" s="244"/>
      <c r="N1135" s="244"/>
      <c r="O1135" s="244"/>
      <c r="P1135" s="244"/>
    </row>
    <row r="1136" spans="5:16">
      <c r="E1136" s="244"/>
      <c r="F1136" s="244"/>
      <c r="G1136" s="244"/>
      <c r="H1136" s="244"/>
      <c r="I1136" s="244"/>
      <c r="J1136" s="244"/>
      <c r="K1136" s="244"/>
      <c r="L1136" s="244"/>
      <c r="M1136" s="244"/>
      <c r="N1136" s="244"/>
      <c r="O1136" s="244"/>
      <c r="P1136" s="244"/>
    </row>
    <row r="1137" spans="5:16">
      <c r="E1137" s="244"/>
      <c r="F1137" s="244"/>
      <c r="G1137" s="244"/>
      <c r="H1137" s="244"/>
      <c r="I1137" s="244"/>
      <c r="J1137" s="244"/>
      <c r="K1137" s="244"/>
      <c r="L1137" s="244"/>
      <c r="M1137" s="244"/>
      <c r="N1137" s="244"/>
      <c r="O1137" s="244"/>
      <c r="P1137" s="244"/>
    </row>
    <row r="1138" spans="5:16">
      <c r="E1138" s="244"/>
      <c r="F1138" s="244"/>
      <c r="G1138" s="244"/>
      <c r="H1138" s="244"/>
      <c r="I1138" s="244"/>
      <c r="J1138" s="244"/>
      <c r="K1138" s="244"/>
      <c r="L1138" s="244"/>
      <c r="M1138" s="244"/>
      <c r="N1138" s="244"/>
      <c r="O1138" s="244"/>
      <c r="P1138" s="244"/>
    </row>
    <row r="1139" spans="5:16">
      <c r="E1139" s="244"/>
      <c r="F1139" s="244"/>
      <c r="G1139" s="244"/>
      <c r="H1139" s="244"/>
      <c r="I1139" s="244"/>
      <c r="J1139" s="244"/>
      <c r="K1139" s="244"/>
      <c r="L1139" s="244"/>
      <c r="M1139" s="244"/>
      <c r="N1139" s="244"/>
      <c r="O1139" s="244"/>
      <c r="P1139" s="244"/>
    </row>
    <row r="1140" spans="5:16">
      <c r="E1140" s="244"/>
      <c r="F1140" s="244"/>
      <c r="G1140" s="244"/>
      <c r="H1140" s="244"/>
      <c r="I1140" s="244"/>
      <c r="J1140" s="244"/>
      <c r="K1140" s="244"/>
      <c r="L1140" s="244"/>
      <c r="M1140" s="244"/>
      <c r="N1140" s="244"/>
      <c r="O1140" s="244"/>
      <c r="P1140" s="244"/>
    </row>
    <row r="1141" spans="5:16">
      <c r="E1141" s="244"/>
      <c r="F1141" s="244"/>
      <c r="G1141" s="244"/>
      <c r="H1141" s="244"/>
      <c r="I1141" s="244"/>
      <c r="J1141" s="244"/>
      <c r="K1141" s="244"/>
      <c r="L1141" s="244"/>
      <c r="M1141" s="244"/>
      <c r="N1141" s="244"/>
      <c r="O1141" s="244"/>
      <c r="P1141" s="244"/>
    </row>
    <row r="1142" spans="5:16">
      <c r="E1142" s="244"/>
      <c r="F1142" s="244"/>
      <c r="G1142" s="244"/>
      <c r="H1142" s="244"/>
      <c r="I1142" s="244"/>
      <c r="J1142" s="244"/>
      <c r="K1142" s="244"/>
      <c r="L1142" s="244"/>
      <c r="M1142" s="244"/>
      <c r="N1142" s="244"/>
      <c r="O1142" s="244"/>
      <c r="P1142" s="244"/>
    </row>
    <row r="1143" spans="5:16">
      <c r="E1143" s="244"/>
      <c r="F1143" s="244"/>
      <c r="G1143" s="244"/>
      <c r="H1143" s="244"/>
      <c r="I1143" s="244"/>
      <c r="J1143" s="244"/>
      <c r="K1143" s="244"/>
      <c r="L1143" s="244"/>
      <c r="M1143" s="244"/>
      <c r="N1143" s="244"/>
      <c r="O1143" s="244"/>
      <c r="P1143" s="244"/>
    </row>
    <row r="1144" spans="5:16">
      <c r="E1144" s="244"/>
      <c r="F1144" s="244"/>
      <c r="G1144" s="244"/>
      <c r="H1144" s="244"/>
      <c r="I1144" s="244"/>
      <c r="J1144" s="244"/>
      <c r="K1144" s="244"/>
      <c r="L1144" s="244"/>
      <c r="M1144" s="244"/>
      <c r="N1144" s="244"/>
      <c r="O1144" s="244"/>
      <c r="P1144" s="244"/>
    </row>
    <row r="1145" spans="5:16">
      <c r="E1145" s="244"/>
      <c r="F1145" s="244"/>
      <c r="G1145" s="244"/>
      <c r="H1145" s="244"/>
      <c r="I1145" s="244"/>
      <c r="J1145" s="244"/>
      <c r="K1145" s="244"/>
      <c r="L1145" s="244"/>
      <c r="M1145" s="244"/>
      <c r="N1145" s="244"/>
      <c r="O1145" s="244"/>
      <c r="P1145" s="244"/>
    </row>
    <row r="1146" spans="5:16">
      <c r="E1146" s="244"/>
      <c r="F1146" s="244"/>
      <c r="G1146" s="244"/>
      <c r="H1146" s="244"/>
      <c r="I1146" s="244"/>
      <c r="J1146" s="244"/>
      <c r="K1146" s="244"/>
      <c r="L1146" s="244"/>
      <c r="M1146" s="244"/>
      <c r="N1146" s="244"/>
      <c r="O1146" s="244"/>
      <c r="P1146" s="244"/>
    </row>
    <row r="1147" spans="5:16">
      <c r="E1147" s="244"/>
      <c r="F1147" s="244"/>
      <c r="G1147" s="244"/>
      <c r="H1147" s="244"/>
      <c r="I1147" s="244"/>
      <c r="J1147" s="244"/>
      <c r="K1147" s="244"/>
      <c r="L1147" s="244"/>
      <c r="M1147" s="244"/>
      <c r="N1147" s="244"/>
      <c r="O1147" s="244"/>
      <c r="P1147" s="244"/>
    </row>
    <row r="1148" spans="5:16">
      <c r="E1148" s="244"/>
      <c r="F1148" s="244"/>
      <c r="G1148" s="244"/>
      <c r="H1148" s="244"/>
      <c r="I1148" s="244"/>
      <c r="J1148" s="244"/>
      <c r="K1148" s="244"/>
      <c r="L1148" s="244"/>
      <c r="M1148" s="244"/>
      <c r="N1148" s="244"/>
      <c r="O1148" s="244"/>
      <c r="P1148" s="244"/>
    </row>
    <row r="1149" spans="5:16">
      <c r="E1149" s="244"/>
      <c r="F1149" s="244"/>
      <c r="G1149" s="244"/>
      <c r="H1149" s="244"/>
      <c r="I1149" s="244"/>
      <c r="J1149" s="244"/>
      <c r="K1149" s="244"/>
      <c r="L1149" s="244"/>
      <c r="M1149" s="244"/>
      <c r="N1149" s="244"/>
      <c r="O1149" s="244"/>
      <c r="P1149" s="244"/>
    </row>
    <row r="1150" spans="5:16">
      <c r="E1150" s="244"/>
      <c r="F1150" s="244"/>
      <c r="G1150" s="244"/>
      <c r="H1150" s="244"/>
      <c r="I1150" s="244"/>
      <c r="J1150" s="244"/>
      <c r="K1150" s="244"/>
      <c r="L1150" s="244"/>
      <c r="M1150" s="244"/>
      <c r="N1150" s="244"/>
      <c r="O1150" s="244"/>
      <c r="P1150" s="244"/>
    </row>
  </sheetData>
  <mergeCells count="19">
    <mergeCell ref="I6:I8"/>
    <mergeCell ref="J6:J8"/>
    <mergeCell ref="K6:K8"/>
    <mergeCell ref="L6:L8"/>
    <mergeCell ref="A1:O1"/>
    <mergeCell ref="A2:O2"/>
    <mergeCell ref="A3:O3"/>
    <mergeCell ref="A5:A8"/>
    <mergeCell ref="B5:B8"/>
    <mergeCell ref="C5:C8"/>
    <mergeCell ref="D5:D8"/>
    <mergeCell ref="E5:O5"/>
    <mergeCell ref="E6:E8"/>
    <mergeCell ref="F6:F8"/>
    <mergeCell ref="M6:M8"/>
    <mergeCell ref="N6:N8"/>
    <mergeCell ref="O6:O8"/>
    <mergeCell ref="G6:G8"/>
    <mergeCell ref="H6:H8"/>
  </mergeCells>
  <pageMargins left="0.35433070866141703" right="0.118110236220472" top="0.56999999999999995" bottom="0.4" header="0.23622047244094499" footer="0.196850393700787"/>
  <pageSetup paperSize="9" scale="73" orientation="landscape" horizontalDpi="300" verticalDpi="300" r:id="rId1"/>
  <headerFooter alignWithMargins="0">
    <oddFooter>&amp;R&amp;P/&amp;N</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8"/>
  <sheetViews>
    <sheetView tabSelected="1" view="pageBreakPreview" topLeftCell="A2" zoomScale="75" zoomScaleSheetLayoutView="75" workbookViewId="0">
      <pane xSplit="2" ySplit="43" topLeftCell="C45" activePane="bottomRight" state="frozen"/>
      <selection activeCell="A2" sqref="A2"/>
      <selection pane="topRight" activeCell="C2" sqref="C2"/>
      <selection pane="bottomLeft" activeCell="A45" sqref="A45"/>
      <selection pane="bottomRight" activeCell="E70" sqref="E70"/>
    </sheetView>
  </sheetViews>
  <sheetFormatPr defaultColWidth="8.25" defaultRowHeight="15.75"/>
  <cols>
    <col min="1" max="1" width="5" style="328" customWidth="1"/>
    <col min="2" max="2" width="37.125" style="245" customWidth="1"/>
    <col min="3" max="3" width="8.25" style="245" customWidth="1"/>
    <col min="4" max="4" width="9.875" style="328" customWidth="1"/>
    <col min="5" max="5" width="12.25" style="404" customWidth="1"/>
    <col min="6" max="6" width="16.25" style="328" customWidth="1"/>
    <col min="7" max="7" width="8.875" style="245" hidden="1" customWidth="1"/>
    <col min="8" max="8" width="13.75" style="245" hidden="1" customWidth="1"/>
    <col min="9" max="9" width="8.875" style="245" hidden="1" customWidth="1"/>
    <col min="10" max="10" width="21.25" style="245" customWidth="1"/>
    <col min="11" max="11" width="0.125" style="245" customWidth="1"/>
    <col min="12" max="24" width="8.25" style="245" customWidth="1"/>
    <col min="25" max="16384" width="8.25" style="245"/>
  </cols>
  <sheetData>
    <row r="1" spans="1:11" s="216" customFormat="1" ht="39.75" customHeight="1">
      <c r="A1" s="840" t="s">
        <v>940</v>
      </c>
      <c r="B1" s="840"/>
      <c r="C1" s="840"/>
      <c r="D1" s="840"/>
      <c r="E1" s="840"/>
      <c r="F1" s="840"/>
    </row>
    <row r="2" spans="1:11">
      <c r="F2" s="419"/>
    </row>
    <row r="3" spans="1:11" s="216" customFormat="1" ht="27" customHeight="1">
      <c r="A3" s="835" t="s">
        <v>4</v>
      </c>
      <c r="B3" s="835" t="s">
        <v>825</v>
      </c>
      <c r="C3" s="835" t="s">
        <v>826</v>
      </c>
      <c r="D3" s="832" t="s">
        <v>825</v>
      </c>
      <c r="E3" s="841" t="s">
        <v>939</v>
      </c>
      <c r="F3" s="835" t="s">
        <v>912</v>
      </c>
      <c r="G3" s="330"/>
      <c r="H3" s="330"/>
      <c r="I3" s="331"/>
    </row>
    <row r="4" spans="1:11" s="216" customFormat="1" ht="15.75" customHeight="1">
      <c r="A4" s="835"/>
      <c r="B4" s="835" t="s">
        <v>829</v>
      </c>
      <c r="C4" s="835"/>
      <c r="D4" s="832"/>
      <c r="E4" s="841"/>
      <c r="F4" s="835"/>
      <c r="G4" s="839" t="s">
        <v>616</v>
      </c>
      <c r="H4" s="832" t="s">
        <v>587</v>
      </c>
      <c r="I4" s="832" t="s">
        <v>487</v>
      </c>
    </row>
    <row r="5" spans="1:11" s="216" customFormat="1" ht="5.25" customHeight="1">
      <c r="A5" s="835"/>
      <c r="B5" s="835"/>
      <c r="C5" s="835"/>
      <c r="D5" s="832"/>
      <c r="E5" s="841"/>
      <c r="F5" s="835"/>
      <c r="G5" s="839" t="s">
        <v>837</v>
      </c>
      <c r="H5" s="832" t="s">
        <v>838</v>
      </c>
      <c r="I5" s="832" t="s">
        <v>838</v>
      </c>
    </row>
    <row r="6" spans="1:11" s="216" customFormat="1" ht="12.75" hidden="1" customHeight="1">
      <c r="A6" s="835"/>
      <c r="B6" s="835"/>
      <c r="C6" s="835"/>
      <c r="D6" s="832"/>
      <c r="E6" s="841"/>
      <c r="F6" s="835"/>
      <c r="G6" s="839"/>
      <c r="H6" s="832" t="s">
        <v>840</v>
      </c>
      <c r="I6" s="832" t="s">
        <v>840</v>
      </c>
    </row>
    <row r="7" spans="1:11" s="224" customFormat="1" ht="26.25" hidden="1" customHeight="1">
      <c r="A7" s="218"/>
      <c r="B7" s="219" t="s">
        <v>841</v>
      </c>
      <c r="C7" s="220"/>
      <c r="D7" s="221" t="e">
        <f t="shared" ref="D7:I7" si="0">D8+D17+D27+D34+D39</f>
        <v>#REF!</v>
      </c>
      <c r="E7" s="357"/>
      <c r="F7" s="221" t="e">
        <f t="shared" si="0"/>
        <v>#REF!</v>
      </c>
      <c r="G7" s="332" t="e">
        <f t="shared" si="0"/>
        <v>#REF!</v>
      </c>
      <c r="H7" s="222" t="e">
        <f t="shared" si="0"/>
        <v>#REF!</v>
      </c>
      <c r="I7" s="222" t="e">
        <f t="shared" si="0"/>
        <v>#REF!</v>
      </c>
      <c r="J7" s="223" t="e">
        <f>SUM(F7:I7)</f>
        <v>#REF!</v>
      </c>
    </row>
    <row r="8" spans="1:11" s="231" customFormat="1" ht="21.95" hidden="1" customHeight="1">
      <c r="A8" s="218" t="s">
        <v>32</v>
      </c>
      <c r="B8" s="226" t="s">
        <v>842</v>
      </c>
      <c r="C8" s="227" t="s">
        <v>843</v>
      </c>
      <c r="D8" s="221" t="e">
        <f>D11+D16</f>
        <v>#REF!</v>
      </c>
      <c r="E8" s="357"/>
      <c r="F8" s="221" t="e">
        <f t="shared" ref="F8:I8" si="1">F11+F16</f>
        <v>#REF!</v>
      </c>
      <c r="G8" s="332" t="e">
        <f t="shared" si="1"/>
        <v>#REF!</v>
      </c>
      <c r="H8" s="222" t="e">
        <f t="shared" si="1"/>
        <v>#REF!</v>
      </c>
      <c r="I8" s="222" t="e">
        <f t="shared" si="1"/>
        <v>#REF!</v>
      </c>
      <c r="J8" s="229"/>
      <c r="K8" s="216"/>
    </row>
    <row r="9" spans="1:11" s="239" customFormat="1" ht="21.95" hidden="1" customHeight="1">
      <c r="A9" s="232">
        <v>1</v>
      </c>
      <c r="B9" s="233" t="s">
        <v>844</v>
      </c>
      <c r="C9" s="232" t="s">
        <v>845</v>
      </c>
      <c r="D9" s="234"/>
      <c r="E9" s="405"/>
      <c r="F9" s="234">
        <v>35456</v>
      </c>
      <c r="G9" s="333">
        <v>44179</v>
      </c>
      <c r="H9" s="235">
        <v>11007</v>
      </c>
      <c r="I9" s="235">
        <v>45554</v>
      </c>
      <c r="J9" s="236" t="s">
        <v>846</v>
      </c>
      <c r="K9" s="237"/>
    </row>
    <row r="10" spans="1:11" s="247" customFormat="1" ht="21.95" hidden="1" customHeight="1">
      <c r="A10" s="227"/>
      <c r="B10" s="240" t="s">
        <v>847</v>
      </c>
      <c r="C10" s="227"/>
      <c r="D10" s="241"/>
      <c r="E10" s="323"/>
      <c r="F10" s="249"/>
      <c r="G10" s="334"/>
      <c r="H10" s="242"/>
      <c r="I10" s="243"/>
      <c r="J10" s="244"/>
      <c r="K10" s="245"/>
    </row>
    <row r="11" spans="1:11" s="247" customFormat="1" ht="21.95" hidden="1" customHeight="1">
      <c r="A11" s="227" t="s">
        <v>848</v>
      </c>
      <c r="B11" s="248" t="s">
        <v>849</v>
      </c>
      <c r="C11" s="227" t="s">
        <v>843</v>
      </c>
      <c r="D11" s="249" t="e">
        <f>(#REF!-500000)/100000*3+10</f>
        <v>#REF!</v>
      </c>
      <c r="E11" s="406"/>
      <c r="F11" s="249" t="e">
        <f>F9*#REF!/10000</f>
        <v>#REF!</v>
      </c>
      <c r="G11" s="334" t="e">
        <f>G9*#REF!/10000</f>
        <v>#REF!</v>
      </c>
      <c r="H11" s="242" t="e">
        <f>H9*#REF!/10000</f>
        <v>#REF!</v>
      </c>
      <c r="I11" s="242" t="e">
        <f>I9*#REF!/10000</f>
        <v>#REF!</v>
      </c>
      <c r="J11" s="244"/>
      <c r="K11" s="245"/>
    </row>
    <row r="12" spans="1:11" s="251" customFormat="1" ht="21.95" hidden="1" customHeight="1">
      <c r="A12" s="232">
        <v>2</v>
      </c>
      <c r="B12" s="233" t="s">
        <v>850</v>
      </c>
      <c r="C12" s="232" t="s">
        <v>845</v>
      </c>
      <c r="D12" s="234"/>
      <c r="E12" s="405"/>
      <c r="F12" s="234">
        <v>33249</v>
      </c>
      <c r="G12" s="333">
        <v>40662</v>
      </c>
      <c r="H12" s="235">
        <v>6374</v>
      </c>
      <c r="I12" s="235">
        <v>42338</v>
      </c>
      <c r="J12" s="236"/>
      <c r="K12" s="237"/>
    </row>
    <row r="13" spans="1:11" s="252" customFormat="1" ht="21.95" hidden="1" customHeight="1">
      <c r="A13" s="232"/>
      <c r="B13" s="233" t="s">
        <v>851</v>
      </c>
      <c r="C13" s="232"/>
      <c r="D13" s="234"/>
      <c r="E13" s="405"/>
      <c r="F13" s="234">
        <v>33249</v>
      </c>
      <c r="G13" s="333">
        <v>39319</v>
      </c>
      <c r="H13" s="235">
        <v>6374</v>
      </c>
      <c r="I13" s="235"/>
      <c r="J13" s="236"/>
      <c r="K13" s="237"/>
    </row>
    <row r="14" spans="1:11" s="247" customFormat="1" ht="21.95" hidden="1" customHeight="1">
      <c r="A14" s="227"/>
      <c r="B14" s="240" t="s">
        <v>852</v>
      </c>
      <c r="C14" s="227"/>
      <c r="D14" s="241"/>
      <c r="E14" s="323"/>
      <c r="F14" s="241"/>
      <c r="G14" s="335"/>
      <c r="H14" s="243"/>
      <c r="I14" s="243"/>
      <c r="J14" s="253"/>
      <c r="K14" s="245"/>
    </row>
    <row r="15" spans="1:11" s="261" customFormat="1" ht="21.95" hidden="1" customHeight="1">
      <c r="A15" s="254" t="s">
        <v>168</v>
      </c>
      <c r="B15" s="255" t="s">
        <v>853</v>
      </c>
      <c r="C15" s="254" t="s">
        <v>854</v>
      </c>
      <c r="D15" s="256"/>
      <c r="E15" s="407"/>
      <c r="F15" s="384">
        <f t="shared" ref="F15:I15" si="2">F12/F9*100</f>
        <v>93.775383574007222</v>
      </c>
      <c r="G15" s="336">
        <f t="shared" si="2"/>
        <v>92.039204146766565</v>
      </c>
      <c r="H15" s="257">
        <f t="shared" si="2"/>
        <v>57.908603615880807</v>
      </c>
      <c r="I15" s="257">
        <f t="shared" si="2"/>
        <v>92.940246740132594</v>
      </c>
      <c r="J15" s="258"/>
      <c r="K15" s="259"/>
    </row>
    <row r="16" spans="1:11" s="263" customFormat="1" ht="21.95" hidden="1" customHeight="1">
      <c r="A16" s="227" t="s">
        <v>848</v>
      </c>
      <c r="B16" s="248" t="s">
        <v>849</v>
      </c>
      <c r="C16" s="227" t="s">
        <v>843</v>
      </c>
      <c r="D16" s="249" t="e">
        <f>#REF!/100000*4</f>
        <v>#REF!</v>
      </c>
      <c r="E16" s="406"/>
      <c r="F16" s="385" t="e">
        <f>F12*#REF!/10000</f>
        <v>#REF!</v>
      </c>
      <c r="G16" s="337" t="e">
        <f>G12*#REF!/10000</f>
        <v>#REF!</v>
      </c>
      <c r="H16" s="262" t="e">
        <f>H12*#REF!/10000</f>
        <v>#REF!</v>
      </c>
      <c r="I16" s="262" t="e">
        <f>I12*#REF!/10000-0.1</f>
        <v>#REF!</v>
      </c>
      <c r="J16" s="244"/>
      <c r="K16" s="245"/>
    </row>
    <row r="17" spans="1:11" s="265" customFormat="1" ht="21.95" hidden="1" customHeight="1">
      <c r="A17" s="218" t="s">
        <v>48</v>
      </c>
      <c r="B17" s="219" t="s">
        <v>855</v>
      </c>
      <c r="C17" s="227" t="s">
        <v>843</v>
      </c>
      <c r="D17" s="221">
        <f t="shared" ref="D17:I17" si="3">D18+D23</f>
        <v>29.95</v>
      </c>
      <c r="E17" s="357"/>
      <c r="F17" s="221">
        <f t="shared" si="3"/>
        <v>10.602656712511809</v>
      </c>
      <c r="G17" s="332">
        <f t="shared" si="3"/>
        <v>9.587992143472075</v>
      </c>
      <c r="H17" s="222">
        <f t="shared" si="3"/>
        <v>3.58042470067288</v>
      </c>
      <c r="I17" s="222">
        <f t="shared" si="3"/>
        <v>8.3165913425023614</v>
      </c>
      <c r="J17" s="236"/>
      <c r="K17" s="216"/>
    </row>
    <row r="18" spans="1:11" s="251" customFormat="1" ht="21.95" hidden="1" customHeight="1">
      <c r="A18" s="232">
        <v>1</v>
      </c>
      <c r="B18" s="233" t="s">
        <v>856</v>
      </c>
      <c r="C18" s="227" t="s">
        <v>843</v>
      </c>
      <c r="D18" s="266">
        <v>10.279999999999998</v>
      </c>
      <c r="E18" s="408"/>
      <c r="F18" s="386">
        <f t="shared" ref="F18:K18" si="4">F22</f>
        <v>7.0317000000000007</v>
      </c>
      <c r="G18" s="338">
        <f t="shared" si="4"/>
        <v>6.1016000000000004</v>
      </c>
      <c r="H18" s="268">
        <f t="shared" si="4"/>
        <v>0.7319</v>
      </c>
      <c r="I18" s="268">
        <f t="shared" si="4"/>
        <v>7.6024000000000003</v>
      </c>
      <c r="J18" s="268">
        <f t="shared" si="4"/>
        <v>0</v>
      </c>
      <c r="K18" s="268">
        <f t="shared" si="4"/>
        <v>0</v>
      </c>
    </row>
    <row r="19" spans="1:11" s="247" customFormat="1" ht="21.95" hidden="1" customHeight="1">
      <c r="A19" s="227" t="s">
        <v>848</v>
      </c>
      <c r="B19" s="248" t="s">
        <v>857</v>
      </c>
      <c r="C19" s="227" t="s">
        <v>854</v>
      </c>
      <c r="D19" s="269"/>
      <c r="E19" s="409"/>
      <c r="F19" s="249">
        <v>54.09</v>
      </c>
      <c r="G19" s="334">
        <v>42.32</v>
      </c>
      <c r="H19" s="242">
        <v>5.63</v>
      </c>
      <c r="I19" s="242">
        <v>58.48</v>
      </c>
      <c r="J19" s="229"/>
      <c r="K19" s="245"/>
    </row>
    <row r="20" spans="1:11" s="247" customFormat="1" ht="21.95" hidden="1" customHeight="1">
      <c r="A20" s="227"/>
      <c r="B20" s="248" t="s">
        <v>858</v>
      </c>
      <c r="C20" s="227" t="s">
        <v>859</v>
      </c>
      <c r="D20" s="269"/>
      <c r="E20" s="409"/>
      <c r="F20" s="241">
        <v>3690</v>
      </c>
      <c r="G20" s="335">
        <v>3976</v>
      </c>
      <c r="H20" s="243">
        <v>166</v>
      </c>
      <c r="I20" s="243">
        <v>4605</v>
      </c>
      <c r="J20" s="244"/>
      <c r="K20" s="245"/>
    </row>
    <row r="21" spans="1:11" s="247" customFormat="1" ht="21.95" hidden="1" customHeight="1">
      <c r="A21" s="227"/>
      <c r="B21" s="248" t="s">
        <v>860</v>
      </c>
      <c r="C21" s="227" t="s">
        <v>843</v>
      </c>
      <c r="D21" s="269"/>
      <c r="E21" s="409"/>
      <c r="F21" s="241"/>
      <c r="G21" s="335"/>
      <c r="H21" s="243"/>
      <c r="I21" s="243"/>
      <c r="J21" s="244"/>
      <c r="K21" s="245"/>
    </row>
    <row r="22" spans="1:11" s="247" customFormat="1" ht="21.95" hidden="1" customHeight="1">
      <c r="A22" s="227"/>
      <c r="B22" s="255" t="s">
        <v>861</v>
      </c>
      <c r="C22" s="227" t="s">
        <v>843</v>
      </c>
      <c r="D22" s="269" t="s">
        <v>315</v>
      </c>
      <c r="E22" s="409"/>
      <c r="F22" s="249">
        <f t="shared" ref="F22:I22" si="5">F19/5*0.65</f>
        <v>7.0317000000000007</v>
      </c>
      <c r="G22" s="334">
        <f>G19/5*0.65+0.5+0.1</f>
        <v>6.1016000000000004</v>
      </c>
      <c r="H22" s="242">
        <f t="shared" si="5"/>
        <v>0.7319</v>
      </c>
      <c r="I22" s="242">
        <f t="shared" si="5"/>
        <v>7.6024000000000003</v>
      </c>
      <c r="J22" s="244"/>
      <c r="K22" s="245"/>
    </row>
    <row r="23" spans="1:11" s="251" customFormat="1" ht="29.25" hidden="1" customHeight="1">
      <c r="A23" s="271">
        <v>2</v>
      </c>
      <c r="B23" s="272" t="s">
        <v>862</v>
      </c>
      <c r="C23" s="271"/>
      <c r="D23" s="266">
        <v>19.670000000000002</v>
      </c>
      <c r="E23" s="408"/>
      <c r="F23" s="266">
        <v>3.5709567125118076</v>
      </c>
      <c r="G23" s="339">
        <v>3.4863921434720742</v>
      </c>
      <c r="H23" s="273">
        <v>2.84852470067288</v>
      </c>
      <c r="I23" s="273">
        <v>0.71419134250236149</v>
      </c>
      <c r="J23" s="273">
        <v>0</v>
      </c>
      <c r="K23" s="273">
        <v>0</v>
      </c>
    </row>
    <row r="24" spans="1:11" s="247" customFormat="1" ht="43.5" hidden="1" customHeight="1">
      <c r="A24" s="276" t="s">
        <v>848</v>
      </c>
      <c r="B24" s="277" t="s">
        <v>863</v>
      </c>
      <c r="C24" s="276" t="s">
        <v>864</v>
      </c>
      <c r="D24" s="278"/>
      <c r="E24" s="410"/>
      <c r="F24" s="278">
        <v>13</v>
      </c>
      <c r="G24" s="340">
        <v>11.6</v>
      </c>
      <c r="H24" s="279">
        <v>10.37</v>
      </c>
      <c r="I24" s="279">
        <v>2.6</v>
      </c>
      <c r="J24" s="280"/>
      <c r="K24" s="281"/>
    </row>
    <row r="25" spans="1:11" s="247" customFormat="1" ht="43.5" hidden="1" customHeight="1">
      <c r="A25" s="276" t="s">
        <v>848</v>
      </c>
      <c r="B25" s="284" t="s">
        <v>865</v>
      </c>
      <c r="C25" s="276" t="s">
        <v>843</v>
      </c>
      <c r="D25" s="276"/>
      <c r="E25" s="411"/>
      <c r="F25" s="278"/>
      <c r="G25" s="340"/>
      <c r="H25" s="279"/>
      <c r="I25" s="285"/>
      <c r="J25" s="286"/>
      <c r="K25" s="281"/>
    </row>
    <row r="26" spans="1:11" s="247" customFormat="1" ht="21.95" hidden="1" customHeight="1">
      <c r="A26" s="276"/>
      <c r="B26" s="287" t="s">
        <v>866</v>
      </c>
      <c r="C26" s="276" t="s">
        <v>867</v>
      </c>
      <c r="D26" s="288">
        <v>19.670000000000002</v>
      </c>
      <c r="E26" s="412"/>
      <c r="F26" s="278">
        <v>3.5709567125118076</v>
      </c>
      <c r="G26" s="340">
        <v>3.4863921434720742</v>
      </c>
      <c r="H26" s="279">
        <v>2.84852470067288</v>
      </c>
      <c r="I26" s="279">
        <v>0.71419134250236149</v>
      </c>
      <c r="J26" s="286"/>
      <c r="K26" s="281"/>
    </row>
    <row r="27" spans="1:11" s="231" customFormat="1" ht="29.25" hidden="1" customHeight="1">
      <c r="A27" s="218" t="s">
        <v>180</v>
      </c>
      <c r="B27" s="219" t="s">
        <v>868</v>
      </c>
      <c r="C27" s="227" t="s">
        <v>843</v>
      </c>
      <c r="D27" s="221">
        <f>D33</f>
        <v>16.559999999999999</v>
      </c>
      <c r="E27" s="357"/>
      <c r="F27" s="221">
        <f t="shared" ref="F27:I27" si="6">F33</f>
        <v>8.6942380000000004</v>
      </c>
      <c r="G27" s="332">
        <f t="shared" si="6"/>
        <v>7.4870400000000004</v>
      </c>
      <c r="H27" s="222">
        <f t="shared" si="6"/>
        <v>7</v>
      </c>
      <c r="I27" s="222">
        <f t="shared" si="6"/>
        <v>8.648871999999999</v>
      </c>
      <c r="J27" s="229"/>
      <c r="K27" s="216"/>
    </row>
    <row r="28" spans="1:11" s="251" customFormat="1" ht="21.95" hidden="1" customHeight="1">
      <c r="A28" s="232">
        <v>1</v>
      </c>
      <c r="B28" s="233" t="s">
        <v>869</v>
      </c>
      <c r="C28" s="232" t="s">
        <v>870</v>
      </c>
      <c r="D28" s="289" t="s">
        <v>315</v>
      </c>
      <c r="E28" s="413"/>
      <c r="F28" s="289">
        <v>157.37299999999999</v>
      </c>
      <c r="G28" s="341">
        <v>44.351999999999997</v>
      </c>
      <c r="H28" s="290">
        <v>11.256</v>
      </c>
      <c r="I28" s="290">
        <v>149.81200000000001</v>
      </c>
      <c r="J28" s="236"/>
      <c r="K28" s="237"/>
    </row>
    <row r="29" spans="1:11" s="261" customFormat="1" ht="28.5" hidden="1" customHeight="1">
      <c r="A29" s="254"/>
      <c r="B29" s="291" t="s">
        <v>871</v>
      </c>
      <c r="C29" s="292"/>
      <c r="D29" s="293"/>
      <c r="E29" s="296"/>
      <c r="F29" s="293">
        <v>7</v>
      </c>
      <c r="G29" s="342">
        <v>7</v>
      </c>
      <c r="H29" s="294">
        <v>7</v>
      </c>
      <c r="I29" s="294">
        <v>7</v>
      </c>
      <c r="J29" s="258"/>
      <c r="K29" s="259"/>
    </row>
    <row r="30" spans="1:11" s="261" customFormat="1" ht="46.5" hidden="1" customHeight="1">
      <c r="A30" s="254"/>
      <c r="B30" s="295" t="s">
        <v>872</v>
      </c>
      <c r="C30" s="292"/>
      <c r="D30" s="293"/>
      <c r="E30" s="296"/>
      <c r="F30" s="293">
        <v>0.6</v>
      </c>
      <c r="G30" s="342">
        <v>0.48704000000000003</v>
      </c>
      <c r="H30" s="294"/>
      <c r="I30" s="294">
        <v>0.6</v>
      </c>
      <c r="J30" s="258"/>
      <c r="K30" s="259"/>
    </row>
    <row r="31" spans="1:11" s="261" customFormat="1" ht="51.75" hidden="1" customHeight="1">
      <c r="A31" s="254"/>
      <c r="B31" s="295" t="s">
        <v>873</v>
      </c>
      <c r="C31" s="292"/>
      <c r="D31" s="293"/>
      <c r="E31" s="296"/>
      <c r="F31" s="293">
        <v>0.75</v>
      </c>
      <c r="G31" s="342"/>
      <c r="H31" s="294"/>
      <c r="I31" s="294">
        <v>0.75</v>
      </c>
      <c r="J31" s="258"/>
      <c r="K31" s="259"/>
    </row>
    <row r="32" spans="1:11" s="261" customFormat="1" ht="39.75" hidden="1" customHeight="1">
      <c r="A32" s="254"/>
      <c r="B32" s="295" t="s">
        <v>874</v>
      </c>
      <c r="C32" s="292"/>
      <c r="D32" s="293"/>
      <c r="E32" s="296"/>
      <c r="F32" s="293">
        <v>0.34423799999999993</v>
      </c>
      <c r="G32" s="342"/>
      <c r="H32" s="294"/>
      <c r="I32" s="294">
        <v>0.29887200000000008</v>
      </c>
      <c r="J32" s="297">
        <f>0.066*(J28-100)/10</f>
        <v>-0.66</v>
      </c>
      <c r="K32" s="297">
        <f>0.066*(K28-100)/10</f>
        <v>-0.66</v>
      </c>
    </row>
    <row r="33" spans="1:11" s="251" customFormat="1" ht="21.95" hidden="1" customHeight="1">
      <c r="A33" s="232"/>
      <c r="B33" s="233" t="s">
        <v>849</v>
      </c>
      <c r="C33" s="232" t="s">
        <v>843</v>
      </c>
      <c r="D33" s="289">
        <f>6+3*2+4.56*1</f>
        <v>16.559999999999999</v>
      </c>
      <c r="E33" s="413"/>
      <c r="F33" s="289">
        <f t="shared" ref="F33:I33" si="7">SUM(F29:F32)</f>
        <v>8.6942380000000004</v>
      </c>
      <c r="G33" s="341">
        <f t="shared" si="7"/>
        <v>7.4870400000000004</v>
      </c>
      <c r="H33" s="290">
        <f t="shared" si="7"/>
        <v>7</v>
      </c>
      <c r="I33" s="290">
        <f t="shared" si="7"/>
        <v>8.648871999999999</v>
      </c>
      <c r="J33" s="236"/>
      <c r="K33" s="237"/>
    </row>
    <row r="34" spans="1:11" s="265" customFormat="1" ht="26.25" hidden="1" customHeight="1">
      <c r="A34" s="218" t="s">
        <v>136</v>
      </c>
      <c r="B34" s="219" t="s">
        <v>875</v>
      </c>
      <c r="C34" s="227" t="s">
        <v>843</v>
      </c>
      <c r="D34" s="221">
        <v>19</v>
      </c>
      <c r="E34" s="357"/>
      <c r="F34" s="221">
        <f t="shared" ref="F34:I34" si="8">F35</f>
        <v>12.2</v>
      </c>
      <c r="G34" s="332">
        <f t="shared" si="8"/>
        <v>7.32</v>
      </c>
      <c r="H34" s="222">
        <f t="shared" si="8"/>
        <v>7.32</v>
      </c>
      <c r="I34" s="222">
        <f t="shared" si="8"/>
        <v>12.2</v>
      </c>
      <c r="J34" s="236"/>
      <c r="K34" s="216"/>
    </row>
    <row r="35" spans="1:11" s="251" customFormat="1" ht="21.95" hidden="1" customHeight="1">
      <c r="A35" s="232">
        <v>1</v>
      </c>
      <c r="B35" s="233" t="s">
        <v>876</v>
      </c>
      <c r="C35" s="232"/>
      <c r="D35" s="289" t="s">
        <v>315</v>
      </c>
      <c r="E35" s="413"/>
      <c r="F35" s="387">
        <f t="shared" ref="F35:I35" si="9">F36+F37+F38</f>
        <v>12.2</v>
      </c>
      <c r="G35" s="343">
        <f t="shared" si="9"/>
        <v>7.32</v>
      </c>
      <c r="H35" s="267">
        <f t="shared" si="9"/>
        <v>7.32</v>
      </c>
      <c r="I35" s="267">
        <f t="shared" si="9"/>
        <v>12.2</v>
      </c>
      <c r="J35" s="236"/>
      <c r="K35" s="237"/>
    </row>
    <row r="36" spans="1:11" s="247" customFormat="1" ht="24.75" hidden="1" customHeight="1">
      <c r="A36" s="227"/>
      <c r="B36" s="299" t="s">
        <v>877</v>
      </c>
      <c r="C36" s="300" t="s">
        <v>843</v>
      </c>
      <c r="D36" s="227">
        <v>10</v>
      </c>
      <c r="E36" s="414"/>
      <c r="F36" s="249">
        <v>4.88</v>
      </c>
      <c r="G36" s="334">
        <v>4.88</v>
      </c>
      <c r="H36" s="242">
        <v>4.88</v>
      </c>
      <c r="I36" s="242">
        <v>4.88</v>
      </c>
      <c r="J36" s="244"/>
      <c r="K36" s="245"/>
    </row>
    <row r="37" spans="1:11" s="247" customFormat="1" ht="21.95" hidden="1" customHeight="1">
      <c r="A37" s="227"/>
      <c r="B37" s="248" t="s">
        <v>878</v>
      </c>
      <c r="C37" s="300" t="s">
        <v>843</v>
      </c>
      <c r="D37" s="241">
        <v>5</v>
      </c>
      <c r="E37" s="323"/>
      <c r="F37" s="249">
        <v>2.44</v>
      </c>
      <c r="G37" s="334">
        <v>2.44</v>
      </c>
      <c r="H37" s="242">
        <v>2.44</v>
      </c>
      <c r="I37" s="242">
        <v>2.44</v>
      </c>
      <c r="J37" s="244"/>
      <c r="K37" s="245"/>
    </row>
    <row r="38" spans="1:11" s="247" customFormat="1" ht="21.95" hidden="1" customHeight="1">
      <c r="A38" s="227"/>
      <c r="B38" s="248" t="s">
        <v>879</v>
      </c>
      <c r="C38" s="300" t="s">
        <v>843</v>
      </c>
      <c r="D38" s="241">
        <v>4</v>
      </c>
      <c r="E38" s="323"/>
      <c r="F38" s="249">
        <v>4.88</v>
      </c>
      <c r="G38" s="344"/>
      <c r="H38" s="301"/>
      <c r="I38" s="242">
        <v>4.88</v>
      </c>
      <c r="J38" s="244"/>
      <c r="K38" s="245"/>
    </row>
    <row r="39" spans="1:11" s="265" customFormat="1" ht="29.25" hidden="1" customHeight="1">
      <c r="A39" s="218" t="s">
        <v>138</v>
      </c>
      <c r="B39" s="219" t="s">
        <v>880</v>
      </c>
      <c r="C39" s="218"/>
      <c r="D39" s="221">
        <f>D40+D43</f>
        <v>8.6999999999999993</v>
      </c>
      <c r="E39" s="357"/>
      <c r="F39" s="221" t="e">
        <f>F40+#REF!</f>
        <v>#REF!</v>
      </c>
      <c r="G39" s="332" t="e">
        <f>G40+#REF!</f>
        <v>#REF!</v>
      </c>
      <c r="H39" s="222" t="e">
        <f>H40+#REF!</f>
        <v>#REF!</v>
      </c>
      <c r="I39" s="222" t="e">
        <f>I40+#REF!</f>
        <v>#REF!</v>
      </c>
      <c r="J39" s="229"/>
      <c r="K39" s="216"/>
    </row>
    <row r="40" spans="1:11" s="251" customFormat="1" ht="21.95" hidden="1" customHeight="1">
      <c r="A40" s="232">
        <v>1</v>
      </c>
      <c r="B40" s="233" t="s">
        <v>881</v>
      </c>
      <c r="C40" s="232" t="s">
        <v>843</v>
      </c>
      <c r="D40" s="289">
        <v>8.6999999999999993</v>
      </c>
      <c r="E40" s="413"/>
      <c r="F40" s="387" t="e">
        <f t="shared" ref="F40:I40" si="10">F42</f>
        <v>#REF!</v>
      </c>
      <c r="G40" s="343">
        <f t="shared" si="10"/>
        <v>0</v>
      </c>
      <c r="H40" s="267">
        <f t="shared" si="10"/>
        <v>0</v>
      </c>
      <c r="I40" s="267" t="e">
        <f t="shared" si="10"/>
        <v>#REF!</v>
      </c>
      <c r="J40" s="236"/>
      <c r="K40" s="237"/>
    </row>
    <row r="41" spans="1:11" s="247" customFormat="1" ht="21.95" hidden="1" customHeight="1">
      <c r="A41" s="227"/>
      <c r="B41" s="248" t="s">
        <v>882</v>
      </c>
      <c r="C41" s="227" t="s">
        <v>843</v>
      </c>
      <c r="D41" s="249"/>
      <c r="E41" s="406"/>
      <c r="F41" s="388">
        <v>6</v>
      </c>
      <c r="G41" s="344">
        <v>0</v>
      </c>
      <c r="H41" s="301">
        <v>0</v>
      </c>
      <c r="I41" s="301">
        <v>8</v>
      </c>
      <c r="J41" s="244"/>
      <c r="K41" s="245"/>
    </row>
    <row r="42" spans="1:11" s="247" customFormat="1" ht="21.95" hidden="1" customHeight="1">
      <c r="A42" s="227"/>
      <c r="B42" s="248" t="s">
        <v>883</v>
      </c>
      <c r="C42" s="227" t="s">
        <v>843</v>
      </c>
      <c r="D42" s="249" t="e">
        <f>#REF!/29</f>
        <v>#REF!</v>
      </c>
      <c r="E42" s="406"/>
      <c r="F42" s="388" t="e">
        <f>6*#REF!</f>
        <v>#REF!</v>
      </c>
      <c r="G42" s="344"/>
      <c r="H42" s="301"/>
      <c r="I42" s="301" t="e">
        <f>8*#REF!</f>
        <v>#REF!</v>
      </c>
      <c r="J42" s="244"/>
      <c r="K42" s="245"/>
    </row>
    <row r="43" spans="1:11" s="251" customFormat="1" ht="33" hidden="1" customHeight="1">
      <c r="A43" s="232">
        <v>2</v>
      </c>
      <c r="B43" s="302" t="s">
        <v>884</v>
      </c>
      <c r="C43" s="232"/>
      <c r="D43" s="289"/>
      <c r="E43" s="413"/>
      <c r="F43" s="289"/>
      <c r="G43" s="341"/>
      <c r="H43" s="290"/>
      <c r="I43" s="267"/>
      <c r="J43" s="236"/>
      <c r="K43" s="237"/>
    </row>
    <row r="44" spans="1:11" s="231" customFormat="1" ht="26.1" customHeight="1">
      <c r="A44" s="396"/>
      <c r="B44" s="397" t="s">
        <v>913</v>
      </c>
      <c r="C44" s="396"/>
      <c r="D44" s="398"/>
      <c r="E44" s="415">
        <f>E46+E80</f>
        <v>2842293</v>
      </c>
      <c r="F44" s="399">
        <f>E46-E53</f>
        <v>2246141</v>
      </c>
      <c r="G44" s="401"/>
      <c r="H44" s="400"/>
      <c r="I44" s="400"/>
      <c r="J44" s="402"/>
      <c r="K44" s="403"/>
    </row>
    <row r="45" spans="1:11" s="247" customFormat="1" ht="24.95" customHeight="1">
      <c r="A45" s="227"/>
      <c r="B45" s="345" t="s">
        <v>914</v>
      </c>
      <c r="C45" s="227"/>
      <c r="D45" s="249"/>
      <c r="E45" s="406"/>
      <c r="F45" s="399">
        <f>F44-E63</f>
        <v>1635355.75</v>
      </c>
      <c r="G45" s="335"/>
      <c r="H45" s="243"/>
      <c r="I45" s="243"/>
      <c r="J45" s="244"/>
      <c r="K45" s="245"/>
    </row>
    <row r="46" spans="1:11" s="309" customFormat="1" ht="36.75" customHeight="1">
      <c r="A46" s="218" t="s">
        <v>73</v>
      </c>
      <c r="B46" s="304" t="s">
        <v>915</v>
      </c>
      <c r="C46" s="219"/>
      <c r="D46" s="305"/>
      <c r="E46" s="358">
        <f>E47+E50</f>
        <v>2732493</v>
      </c>
      <c r="F46" s="305">
        <f>E44-E46</f>
        <v>109800</v>
      </c>
      <c r="G46" s="346"/>
      <c r="H46" s="264"/>
      <c r="I46" s="264"/>
      <c r="J46" s="327"/>
      <c r="K46" s="307"/>
    </row>
    <row r="47" spans="1:11" s="309" customFormat="1" ht="33" customHeight="1">
      <c r="A47" s="227">
        <v>1</v>
      </c>
      <c r="B47" s="345" t="s">
        <v>916</v>
      </c>
      <c r="C47" s="219"/>
      <c r="D47" s="305"/>
      <c r="E47" s="416">
        <v>2582193</v>
      </c>
      <c r="F47" s="305"/>
      <c r="G47" s="346">
        <f>F47/2</f>
        <v>0</v>
      </c>
      <c r="H47" s="264"/>
      <c r="I47" s="264"/>
      <c r="J47" s="306"/>
      <c r="K47" s="307"/>
    </row>
    <row r="48" spans="1:11" s="429" customFormat="1" ht="27" customHeight="1">
      <c r="A48" s="420"/>
      <c r="B48" s="430" t="s">
        <v>307</v>
      </c>
      <c r="C48" s="422"/>
      <c r="D48" s="423"/>
      <c r="E48" s="424"/>
      <c r="F48" s="423"/>
      <c r="G48" s="426"/>
      <c r="H48" s="425"/>
      <c r="I48" s="425"/>
      <c r="J48" s="427"/>
      <c r="K48" s="428"/>
    </row>
    <row r="49" spans="1:12" s="429" customFormat="1" ht="27.6" customHeight="1">
      <c r="A49" s="420"/>
      <c r="B49" s="430" t="s">
        <v>1034</v>
      </c>
      <c r="C49" s="422"/>
      <c r="D49" s="423"/>
      <c r="E49" s="424"/>
      <c r="F49" s="423"/>
      <c r="G49" s="426"/>
      <c r="H49" s="425"/>
      <c r="I49" s="425"/>
      <c r="J49" s="427"/>
      <c r="K49" s="428"/>
    </row>
    <row r="50" spans="1:12" s="309" customFormat="1" ht="30" customHeight="1">
      <c r="A50" s="227">
        <v>2</v>
      </c>
      <c r="B50" s="345" t="s">
        <v>174</v>
      </c>
      <c r="C50" s="219"/>
      <c r="D50" s="305"/>
      <c r="E50" s="416">
        <v>150300</v>
      </c>
      <c r="F50" s="305"/>
      <c r="G50" s="346"/>
      <c r="H50" s="264"/>
      <c r="I50" s="264"/>
      <c r="J50" s="306"/>
      <c r="K50" s="307"/>
    </row>
    <row r="51" spans="1:12" s="429" customFormat="1" ht="24.75" customHeight="1">
      <c r="A51" s="420"/>
      <c r="B51" s="421"/>
      <c r="C51" s="422"/>
      <c r="D51" s="423"/>
      <c r="E51" s="424"/>
      <c r="F51" s="423"/>
      <c r="G51" s="426"/>
      <c r="H51" s="425"/>
      <c r="I51" s="425"/>
      <c r="J51" s="427"/>
      <c r="K51" s="428"/>
    </row>
    <row r="52" spans="1:12" s="309" customFormat="1" ht="35.25" customHeight="1">
      <c r="A52" s="218" t="s">
        <v>82</v>
      </c>
      <c r="B52" s="347" t="s">
        <v>917</v>
      </c>
      <c r="C52" s="219"/>
      <c r="D52" s="305"/>
      <c r="E52" s="417">
        <f>E53+E62</f>
        <v>2715339</v>
      </c>
      <c r="F52" s="305"/>
      <c r="G52" s="346"/>
      <c r="H52" s="264"/>
      <c r="I52" s="264"/>
      <c r="J52" s="327"/>
      <c r="K52" s="307"/>
      <c r="L52" s="309" t="e">
        <f>SUM(L53:L69)</f>
        <v>#REF!</v>
      </c>
    </row>
    <row r="53" spans="1:12" s="309" customFormat="1" ht="23.25" customHeight="1">
      <c r="A53" s="218" t="s">
        <v>32</v>
      </c>
      <c r="B53" s="219" t="s">
        <v>918</v>
      </c>
      <c r="C53" s="219"/>
      <c r="D53" s="391"/>
      <c r="E53" s="392">
        <f>SUM(E54:E57)</f>
        <v>486352</v>
      </c>
      <c r="F53" s="305"/>
      <c r="G53" s="346"/>
      <c r="H53" s="264"/>
      <c r="I53" s="264"/>
      <c r="J53" s="306"/>
      <c r="K53" s="307"/>
    </row>
    <row r="54" spans="1:12" s="324" customFormat="1" ht="33.75" customHeight="1">
      <c r="A54" s="227">
        <v>1</v>
      </c>
      <c r="B54" s="299" t="s">
        <v>973</v>
      </c>
      <c r="C54" s="227" t="s">
        <v>888</v>
      </c>
      <c r="D54" s="227"/>
      <c r="E54" s="414"/>
      <c r="F54" s="241"/>
      <c r="G54" s="348"/>
      <c r="H54" s="349"/>
      <c r="I54" s="243"/>
      <c r="J54" s="317"/>
      <c r="K54" s="318"/>
      <c r="L54" s="433" t="e">
        <f>#REF!</f>
        <v>#REF!</v>
      </c>
    </row>
    <row r="55" spans="1:12" s="324" customFormat="1" ht="32.450000000000003" customHeight="1">
      <c r="A55" s="227">
        <v>2</v>
      </c>
      <c r="B55" s="248" t="s">
        <v>919</v>
      </c>
      <c r="C55" s="227" t="s">
        <v>888</v>
      </c>
      <c r="D55" s="350"/>
      <c r="E55" s="323">
        <v>77847</v>
      </c>
      <c r="F55" s="269"/>
      <c r="G55" s="348"/>
      <c r="H55" s="349"/>
      <c r="I55" s="243"/>
      <c r="J55" s="317"/>
      <c r="K55" s="318"/>
      <c r="L55" s="433" t="e">
        <f>#REF!</f>
        <v>#REF!</v>
      </c>
    </row>
    <row r="56" spans="1:12" s="324" customFormat="1" ht="30" customHeight="1">
      <c r="A56" s="227">
        <v>3</v>
      </c>
      <c r="B56" s="248" t="s">
        <v>920</v>
      </c>
      <c r="C56" s="227" t="s">
        <v>888</v>
      </c>
      <c r="D56" s="350"/>
      <c r="E56" s="323">
        <v>210505</v>
      </c>
      <c r="F56" s="241"/>
      <c r="G56" s="348"/>
      <c r="H56" s="349"/>
      <c r="I56" s="243"/>
      <c r="J56" s="317"/>
      <c r="K56" s="318"/>
      <c r="L56" s="433" t="e">
        <f>#REF!</f>
        <v>#REF!</v>
      </c>
    </row>
    <row r="57" spans="1:12" s="324" customFormat="1" ht="30.75" customHeight="1">
      <c r="A57" s="227">
        <v>5</v>
      </c>
      <c r="B57" s="248" t="s">
        <v>921</v>
      </c>
      <c r="C57" s="227" t="s">
        <v>888</v>
      </c>
      <c r="D57" s="350"/>
      <c r="E57" s="390">
        <f>E58+E59+E60+E61</f>
        <v>198000</v>
      </c>
      <c r="F57" s="269"/>
      <c r="G57" s="348"/>
      <c r="H57" s="349"/>
      <c r="I57" s="243"/>
      <c r="J57" s="317"/>
      <c r="K57" s="318"/>
      <c r="L57" s="433" t="e">
        <f>#REF!</f>
        <v>#REF!</v>
      </c>
    </row>
    <row r="58" spans="1:12" s="324" customFormat="1" ht="39" customHeight="1">
      <c r="A58" s="227" t="s">
        <v>922</v>
      </c>
      <c r="B58" s="434" t="s">
        <v>466</v>
      </c>
      <c r="C58" s="227" t="s">
        <v>888</v>
      </c>
      <c r="D58" s="350"/>
      <c r="E58" s="323">
        <v>60000</v>
      </c>
      <c r="F58" s="269"/>
      <c r="G58" s="348"/>
      <c r="H58" s="349"/>
      <c r="I58" s="243"/>
      <c r="J58" s="317"/>
      <c r="K58" s="318"/>
    </row>
    <row r="59" spans="1:12" s="324" customFormat="1" ht="39" customHeight="1">
      <c r="A59" s="227" t="s">
        <v>923</v>
      </c>
      <c r="B59" s="434" t="s">
        <v>924</v>
      </c>
      <c r="C59" s="227" t="s">
        <v>888</v>
      </c>
      <c r="D59" s="350"/>
      <c r="E59" s="323">
        <v>30000</v>
      </c>
      <c r="F59" s="241"/>
      <c r="G59" s="348"/>
      <c r="H59" s="349"/>
      <c r="I59" s="243"/>
      <c r="J59" s="317">
        <v>439300</v>
      </c>
      <c r="K59" s="318"/>
    </row>
    <row r="60" spans="1:12" s="324" customFormat="1" ht="58.5" customHeight="1">
      <c r="A60" s="227" t="s">
        <v>925</v>
      </c>
      <c r="B60" s="435" t="s">
        <v>926</v>
      </c>
      <c r="C60" s="227" t="s">
        <v>888</v>
      </c>
      <c r="D60" s="350"/>
      <c r="E60" s="323">
        <v>45000</v>
      </c>
      <c r="F60" s="269"/>
      <c r="G60" s="348"/>
      <c r="H60" s="349"/>
      <c r="I60" s="243"/>
      <c r="J60" s="317"/>
      <c r="K60" s="318"/>
    </row>
    <row r="61" spans="1:12" s="318" customFormat="1" ht="35.450000000000003" customHeight="1">
      <c r="A61" s="227" t="s">
        <v>927</v>
      </c>
      <c r="B61" s="431" t="s">
        <v>928</v>
      </c>
      <c r="C61" s="227" t="s">
        <v>888</v>
      </c>
      <c r="D61" s="350"/>
      <c r="E61" s="323">
        <v>63000</v>
      </c>
      <c r="F61" s="269"/>
      <c r="G61" s="348"/>
      <c r="H61" s="349"/>
      <c r="I61" s="243"/>
      <c r="J61" s="317"/>
    </row>
    <row r="62" spans="1:12" s="309" customFormat="1" ht="24.75" customHeight="1">
      <c r="A62" s="218" t="s">
        <v>48</v>
      </c>
      <c r="B62" s="304" t="s">
        <v>929</v>
      </c>
      <c r="C62" s="218"/>
      <c r="D62" s="351"/>
      <c r="E62" s="391">
        <f>E63+E69</f>
        <v>2228987</v>
      </c>
      <c r="F62" s="305"/>
      <c r="G62" s="353"/>
      <c r="H62" s="352"/>
      <c r="I62" s="264"/>
      <c r="J62" s="317">
        <v>179000</v>
      </c>
      <c r="K62" s="307"/>
    </row>
    <row r="63" spans="1:12" s="309" customFormat="1" ht="21.6" customHeight="1">
      <c r="A63" s="218" t="s">
        <v>305</v>
      </c>
      <c r="B63" s="304" t="s">
        <v>930</v>
      </c>
      <c r="C63" s="218"/>
      <c r="D63" s="351"/>
      <c r="E63" s="391">
        <f t="shared" ref="E63" si="11">E64+E65+E66</f>
        <v>610785.25</v>
      </c>
      <c r="F63" s="305"/>
      <c r="G63" s="353"/>
      <c r="H63" s="352"/>
      <c r="I63" s="264"/>
      <c r="J63" s="317">
        <v>50000</v>
      </c>
      <c r="K63" s="307"/>
    </row>
    <row r="64" spans="1:12" s="324" customFormat="1" ht="30" customHeight="1">
      <c r="A64" s="227">
        <v>1</v>
      </c>
      <c r="B64" s="248" t="s">
        <v>889</v>
      </c>
      <c r="C64" s="227" t="s">
        <v>888</v>
      </c>
      <c r="D64" s="350">
        <v>0.05</v>
      </c>
      <c r="E64" s="323">
        <f>F44*5%</f>
        <v>112307.05</v>
      </c>
      <c r="F64" s="241"/>
      <c r="G64" s="335"/>
      <c r="H64" s="243"/>
      <c r="I64" s="243"/>
      <c r="J64" s="317">
        <f>J62-J63</f>
        <v>129000</v>
      </c>
      <c r="K64" s="318"/>
      <c r="L64" s="433" t="e">
        <f>#REF!</f>
        <v>#REF!</v>
      </c>
    </row>
    <row r="65" spans="1:12" s="324" customFormat="1" ht="56.25" customHeight="1">
      <c r="A65" s="227">
        <v>2</v>
      </c>
      <c r="B65" s="248" t="s">
        <v>890</v>
      </c>
      <c r="C65" s="227" t="s">
        <v>888</v>
      </c>
      <c r="D65" s="354" t="s">
        <v>33</v>
      </c>
      <c r="E65" s="323">
        <v>49250</v>
      </c>
      <c r="F65" s="383" t="s">
        <v>931</v>
      </c>
      <c r="G65" s="348"/>
      <c r="H65" s="349"/>
      <c r="I65" s="243" t="e">
        <f>#REF!+#REF!</f>
        <v>#REF!</v>
      </c>
      <c r="J65" s="317"/>
      <c r="K65" s="318"/>
      <c r="L65" s="433" t="e">
        <f>#REF!</f>
        <v>#REF!</v>
      </c>
    </row>
    <row r="66" spans="1:12" s="324" customFormat="1" ht="28.5" customHeight="1">
      <c r="A66" s="227">
        <v>3</v>
      </c>
      <c r="B66" s="355" t="s">
        <v>892</v>
      </c>
      <c r="C66" s="227" t="s">
        <v>888</v>
      </c>
      <c r="D66" s="350">
        <v>0.2</v>
      </c>
      <c r="E66" s="323">
        <f>D66*F44</f>
        <v>449228.2</v>
      </c>
      <c r="F66" s="241"/>
      <c r="G66" s="348"/>
      <c r="H66" s="349"/>
      <c r="I66" s="243"/>
      <c r="J66" s="317"/>
      <c r="K66" s="318"/>
      <c r="L66" s="433" t="e">
        <f>#REF!</f>
        <v>#REF!</v>
      </c>
    </row>
    <row r="67" spans="1:12" s="324" customFormat="1" ht="30" customHeight="1">
      <c r="A67" s="393"/>
      <c r="B67" s="394" t="s">
        <v>938</v>
      </c>
      <c r="C67" s="227"/>
      <c r="D67" s="350"/>
      <c r="E67" s="323"/>
      <c r="F67" s="269"/>
      <c r="G67" s="348"/>
      <c r="H67" s="349"/>
      <c r="I67" s="243"/>
      <c r="J67" s="317"/>
      <c r="K67" s="318"/>
    </row>
    <row r="68" spans="1:12" s="324" customFormat="1" ht="72.95" customHeight="1">
      <c r="A68" s="393"/>
      <c r="B68" s="394" t="s">
        <v>972</v>
      </c>
      <c r="C68" s="227"/>
      <c r="D68" s="350"/>
      <c r="E68" s="323"/>
      <c r="F68" s="269"/>
      <c r="G68" s="348"/>
      <c r="H68" s="349"/>
      <c r="I68" s="243"/>
      <c r="J68" s="317"/>
      <c r="K68" s="318"/>
    </row>
    <row r="69" spans="1:12" s="309" customFormat="1" ht="23.25" customHeight="1">
      <c r="A69" s="218" t="s">
        <v>309</v>
      </c>
      <c r="B69" s="356" t="s">
        <v>932</v>
      </c>
      <c r="C69" s="218"/>
      <c r="D69" s="357">
        <f t="shared" ref="D69:E69" si="12">SUM(D70:D79)</f>
        <v>500.00118829718122</v>
      </c>
      <c r="E69" s="264">
        <f t="shared" si="12"/>
        <v>1618201.75</v>
      </c>
      <c r="F69" s="305"/>
      <c r="G69" s="353"/>
      <c r="H69" s="359">
        <v>2860.7635928427108</v>
      </c>
      <c r="I69" s="264"/>
      <c r="J69" s="310"/>
      <c r="K69" s="307"/>
      <c r="L69" s="432" t="e">
        <f>#REF!</f>
        <v>#REF!</v>
      </c>
    </row>
    <row r="70" spans="1:12" s="313" customFormat="1" ht="18.75" customHeight="1">
      <c r="A70" s="227">
        <v>1</v>
      </c>
      <c r="B70" s="360" t="s">
        <v>933</v>
      </c>
      <c r="C70" s="227" t="s">
        <v>888</v>
      </c>
      <c r="D70" s="361">
        <v>78.397180383434943</v>
      </c>
      <c r="E70" s="323">
        <v>256413.95005572692</v>
      </c>
      <c r="F70" s="305"/>
      <c r="G70" s="338"/>
      <c r="H70" s="268" t="e">
        <f>#REF!-H69</f>
        <v>#REF!</v>
      </c>
      <c r="I70" s="235"/>
      <c r="J70" s="310"/>
      <c r="K70" s="311"/>
    </row>
    <row r="71" spans="1:12" s="313" customFormat="1" ht="18.75" customHeight="1">
      <c r="A71" s="227">
        <v>2</v>
      </c>
      <c r="B71" s="360" t="s">
        <v>360</v>
      </c>
      <c r="C71" s="227" t="s">
        <v>888</v>
      </c>
      <c r="D71" s="361">
        <v>82.902420342199775</v>
      </c>
      <c r="E71" s="323">
        <v>271149.25517927553</v>
      </c>
      <c r="F71" s="305"/>
      <c r="G71" s="338"/>
      <c r="H71" s="268"/>
      <c r="I71" s="235"/>
      <c r="J71" s="310"/>
      <c r="K71" s="311"/>
    </row>
    <row r="72" spans="1:12" s="322" customFormat="1" ht="18.75" customHeight="1">
      <c r="A72" s="227">
        <v>3</v>
      </c>
      <c r="B72" s="360" t="s">
        <v>697</v>
      </c>
      <c r="C72" s="227" t="s">
        <v>888</v>
      </c>
      <c r="D72" s="361">
        <v>41.12290742503334</v>
      </c>
      <c r="E72" s="323">
        <v>134500.84657453821</v>
      </c>
      <c r="F72" s="305"/>
      <c r="G72" s="362"/>
      <c r="H72" s="326"/>
      <c r="I72" s="326"/>
      <c r="J72" s="310"/>
      <c r="K72" s="321"/>
    </row>
    <row r="73" spans="1:12" s="369" customFormat="1" ht="18.75" customHeight="1">
      <c r="A73" s="227">
        <v>4</v>
      </c>
      <c r="B73" s="363" t="s">
        <v>397</v>
      </c>
      <c r="C73" s="364" t="s">
        <v>888</v>
      </c>
      <c r="D73" s="365">
        <v>49.418071043663929</v>
      </c>
      <c r="E73" s="323">
        <v>161631.86913693964</v>
      </c>
      <c r="F73" s="305"/>
      <c r="G73" s="367"/>
      <c r="H73" s="366"/>
      <c r="I73" s="366"/>
      <c r="J73" s="310"/>
      <c r="K73" s="368"/>
    </row>
    <row r="74" spans="1:12" s="374" customFormat="1" ht="18.75" customHeight="1">
      <c r="A74" s="227">
        <v>5</v>
      </c>
      <c r="B74" s="363" t="s">
        <v>537</v>
      </c>
      <c r="C74" s="364" t="s">
        <v>888</v>
      </c>
      <c r="D74" s="365">
        <v>39.713818105626693</v>
      </c>
      <c r="E74" s="323">
        <v>129892.1328860707</v>
      </c>
      <c r="F74" s="305"/>
      <c r="G74" s="372"/>
      <c r="H74" s="370"/>
      <c r="I74" s="370"/>
      <c r="J74" s="310"/>
      <c r="K74" s="373"/>
    </row>
    <row r="75" spans="1:12" s="377" customFormat="1" ht="18.75" customHeight="1">
      <c r="A75" s="227">
        <v>6</v>
      </c>
      <c r="B75" s="363" t="s">
        <v>934</v>
      </c>
      <c r="C75" s="364" t="s">
        <v>888</v>
      </c>
      <c r="D75" s="365">
        <v>36.800978395590704</v>
      </c>
      <c r="E75" s="323">
        <v>120365.09719069865</v>
      </c>
      <c r="F75" s="305"/>
      <c r="G75" s="362"/>
      <c r="H75" s="375"/>
      <c r="I75" s="375"/>
      <c r="J75" s="310"/>
      <c r="K75" s="376"/>
    </row>
    <row r="76" spans="1:12" s="379" customFormat="1" ht="18.75" customHeight="1">
      <c r="A76" s="227">
        <v>7</v>
      </c>
      <c r="B76" s="363" t="s">
        <v>935</v>
      </c>
      <c r="C76" s="364" t="s">
        <v>888</v>
      </c>
      <c r="D76" s="365">
        <v>47.373733993044901</v>
      </c>
      <c r="E76" s="323">
        <v>154945.4483265139</v>
      </c>
      <c r="F76" s="305"/>
      <c r="G76" s="378"/>
      <c r="H76" s="371"/>
      <c r="I76" s="371"/>
      <c r="J76" s="310"/>
      <c r="K76" s="376"/>
    </row>
    <row r="77" spans="1:12" s="322" customFormat="1" ht="18.75" customHeight="1">
      <c r="A77" s="227">
        <v>8</v>
      </c>
      <c r="B77" s="360" t="s">
        <v>485</v>
      </c>
      <c r="C77" s="227" t="s">
        <v>888</v>
      </c>
      <c r="D77" s="361">
        <v>50.360589013641317</v>
      </c>
      <c r="E77" s="323">
        <v>164714.56617398091</v>
      </c>
      <c r="F77" s="305"/>
      <c r="G77" s="362"/>
      <c r="H77" s="326"/>
      <c r="I77" s="326"/>
      <c r="J77" s="310"/>
      <c r="K77" s="321"/>
    </row>
    <row r="78" spans="1:12" s="322" customFormat="1" ht="18.75" customHeight="1">
      <c r="A78" s="227">
        <v>9</v>
      </c>
      <c r="B78" s="360" t="s">
        <v>587</v>
      </c>
      <c r="C78" s="227" t="s">
        <v>888</v>
      </c>
      <c r="D78" s="380">
        <v>20.257736675785068</v>
      </c>
      <c r="E78" s="323">
        <v>49103.054843318983</v>
      </c>
      <c r="F78" s="305"/>
      <c r="G78" s="362"/>
      <c r="H78" s="326"/>
      <c r="I78" s="326"/>
      <c r="J78" s="310"/>
      <c r="K78" s="321"/>
    </row>
    <row r="79" spans="1:12" s="322" customFormat="1" ht="18.75" customHeight="1">
      <c r="A79" s="227">
        <v>10</v>
      </c>
      <c r="B79" s="360" t="s">
        <v>565</v>
      </c>
      <c r="C79" s="227" t="s">
        <v>888</v>
      </c>
      <c r="D79" s="361">
        <v>53.653752919160624</v>
      </c>
      <c r="E79" s="323">
        <v>175485.52963293681</v>
      </c>
      <c r="F79" s="305"/>
      <c r="G79" s="336"/>
      <c r="H79" s="326"/>
      <c r="I79" s="326"/>
      <c r="J79" s="310"/>
      <c r="K79" s="321"/>
    </row>
    <row r="80" spans="1:12" s="322" customFormat="1" ht="34.5" customHeight="1">
      <c r="A80" s="227" t="s">
        <v>85</v>
      </c>
      <c r="B80" s="381" t="s">
        <v>936</v>
      </c>
      <c r="C80" s="227"/>
      <c r="D80" s="361"/>
      <c r="E80" s="395">
        <v>109800</v>
      </c>
      <c r="F80" s="241"/>
      <c r="G80" s="382"/>
      <c r="H80" s="306"/>
      <c r="I80" s="306"/>
      <c r="J80" s="306"/>
      <c r="K80" s="321"/>
    </row>
    <row r="81" spans="1:10">
      <c r="A81" s="248"/>
      <c r="B81" s="248"/>
      <c r="C81" s="248"/>
      <c r="D81" s="248"/>
      <c r="E81" s="414"/>
      <c r="F81" s="241"/>
      <c r="G81" s="244"/>
      <c r="H81" s="244"/>
      <c r="I81" s="244"/>
      <c r="J81" s="244"/>
    </row>
    <row r="82" spans="1:10">
      <c r="A82" s="245"/>
      <c r="D82" s="245"/>
      <c r="F82" s="389"/>
      <c r="G82" s="244"/>
      <c r="H82" s="244"/>
      <c r="I82" s="244"/>
      <c r="J82" s="244"/>
    </row>
    <row r="83" spans="1:10">
      <c r="A83" s="245"/>
      <c r="D83" s="245"/>
      <c r="F83" s="389"/>
      <c r="G83" s="244"/>
      <c r="H83" s="244"/>
      <c r="I83" s="244"/>
      <c r="J83" s="244"/>
    </row>
    <row r="84" spans="1:10">
      <c r="A84" s="245"/>
      <c r="D84" s="245"/>
      <c r="F84" s="389"/>
      <c r="G84" s="244"/>
      <c r="H84" s="244"/>
      <c r="I84" s="244"/>
      <c r="J84" s="244"/>
    </row>
    <row r="85" spans="1:10">
      <c r="A85" s="245"/>
      <c r="D85" s="245"/>
      <c r="F85" s="389"/>
      <c r="G85" s="244"/>
      <c r="H85" s="244"/>
      <c r="I85" s="244"/>
      <c r="J85" s="244"/>
    </row>
    <row r="86" spans="1:10">
      <c r="A86" s="245"/>
      <c r="D86" s="245"/>
      <c r="F86" s="389"/>
      <c r="G86" s="244"/>
      <c r="H86" s="244"/>
      <c r="I86" s="244"/>
      <c r="J86" s="244"/>
    </row>
    <row r="87" spans="1:10">
      <c r="A87" s="245"/>
      <c r="D87" s="245"/>
      <c r="F87" s="389"/>
      <c r="G87" s="244"/>
      <c r="H87" s="244"/>
      <c r="I87" s="244"/>
      <c r="J87" s="244"/>
    </row>
    <row r="88" spans="1:10">
      <c r="A88" s="245"/>
      <c r="D88" s="245"/>
      <c r="F88" s="389"/>
      <c r="G88" s="244"/>
      <c r="H88" s="244"/>
      <c r="I88" s="244"/>
      <c r="J88" s="244"/>
    </row>
    <row r="89" spans="1:10">
      <c r="A89" s="245"/>
      <c r="D89" s="245"/>
      <c r="F89" s="389"/>
      <c r="G89" s="244"/>
      <c r="H89" s="244"/>
      <c r="I89" s="244"/>
      <c r="J89" s="244"/>
    </row>
    <row r="90" spans="1:10">
      <c r="A90" s="245"/>
      <c r="D90" s="245"/>
      <c r="F90" s="389"/>
      <c r="G90" s="244"/>
      <c r="H90" s="244"/>
      <c r="I90" s="244"/>
      <c r="J90" s="244"/>
    </row>
    <row r="91" spans="1:10">
      <c r="A91" s="245"/>
      <c r="D91" s="245"/>
      <c r="F91" s="389"/>
      <c r="G91" s="244"/>
      <c r="H91" s="244"/>
      <c r="I91" s="244"/>
      <c r="J91" s="244"/>
    </row>
    <row r="92" spans="1:10">
      <c r="A92" s="245"/>
      <c r="D92" s="245"/>
      <c r="F92" s="389"/>
      <c r="G92" s="244"/>
      <c r="H92" s="244"/>
      <c r="I92" s="244"/>
      <c r="J92" s="244"/>
    </row>
    <row r="93" spans="1:10">
      <c r="A93" s="245"/>
      <c r="D93" s="245"/>
      <c r="F93" s="389"/>
      <c r="G93" s="244"/>
      <c r="H93" s="244"/>
      <c r="I93" s="244"/>
      <c r="J93" s="244"/>
    </row>
    <row r="94" spans="1:10">
      <c r="A94" s="245"/>
      <c r="D94" s="245"/>
      <c r="F94" s="389"/>
      <c r="G94" s="244"/>
      <c r="H94" s="244"/>
      <c r="I94" s="244"/>
      <c r="J94" s="244"/>
    </row>
    <row r="95" spans="1:10">
      <c r="A95" s="245"/>
      <c r="D95" s="245"/>
      <c r="F95" s="389"/>
      <c r="G95" s="244"/>
      <c r="H95" s="244"/>
      <c r="I95" s="244"/>
      <c r="J95" s="244"/>
    </row>
    <row r="96" spans="1:10">
      <c r="A96" s="245"/>
      <c r="D96" s="245"/>
      <c r="F96" s="389"/>
      <c r="G96" s="244"/>
      <c r="H96" s="244"/>
      <c r="I96" s="244"/>
      <c r="J96" s="244"/>
    </row>
    <row r="97" spans="1:10">
      <c r="A97" s="245"/>
      <c r="D97" s="245"/>
      <c r="F97" s="389"/>
      <c r="G97" s="244"/>
      <c r="H97" s="244"/>
      <c r="I97" s="244"/>
      <c r="J97" s="244"/>
    </row>
    <row r="98" spans="1:10">
      <c r="A98" s="245"/>
      <c r="D98" s="245"/>
      <c r="F98" s="389"/>
      <c r="G98" s="244"/>
      <c r="H98" s="244"/>
      <c r="I98" s="244"/>
      <c r="J98" s="244"/>
    </row>
    <row r="99" spans="1:10">
      <c r="A99" s="245"/>
      <c r="D99" s="245"/>
      <c r="F99" s="389"/>
      <c r="G99" s="244"/>
      <c r="H99" s="244"/>
      <c r="I99" s="244"/>
      <c r="J99" s="244"/>
    </row>
    <row r="100" spans="1:10">
      <c r="A100" s="245"/>
      <c r="D100" s="245"/>
      <c r="F100" s="389"/>
      <c r="G100" s="244"/>
      <c r="H100" s="244"/>
      <c r="I100" s="244"/>
      <c r="J100" s="244"/>
    </row>
    <row r="101" spans="1:10">
      <c r="A101" s="245"/>
      <c r="D101" s="245"/>
      <c r="F101" s="389"/>
      <c r="G101" s="244"/>
      <c r="H101" s="244"/>
      <c r="I101" s="244"/>
      <c r="J101" s="244"/>
    </row>
    <row r="102" spans="1:10">
      <c r="A102" s="245"/>
      <c r="D102" s="245"/>
      <c r="F102" s="389"/>
      <c r="G102" s="244"/>
      <c r="H102" s="244"/>
      <c r="I102" s="244"/>
      <c r="J102" s="244"/>
    </row>
    <row r="103" spans="1:10">
      <c r="A103" s="245"/>
      <c r="D103" s="245"/>
      <c r="F103" s="389"/>
      <c r="G103" s="244"/>
      <c r="H103" s="244"/>
      <c r="I103" s="244"/>
      <c r="J103" s="244"/>
    </row>
    <row r="104" spans="1:10">
      <c r="A104" s="245"/>
      <c r="D104" s="245"/>
      <c r="F104" s="389"/>
      <c r="G104" s="244"/>
      <c r="H104" s="244"/>
      <c r="I104" s="244"/>
      <c r="J104" s="244"/>
    </row>
    <row r="105" spans="1:10">
      <c r="A105" s="245"/>
      <c r="D105" s="245"/>
      <c r="F105" s="389"/>
      <c r="G105" s="244"/>
      <c r="H105" s="244"/>
      <c r="I105" s="244"/>
      <c r="J105" s="244"/>
    </row>
    <row r="106" spans="1:10">
      <c r="A106" s="245"/>
      <c r="D106" s="245"/>
      <c r="F106" s="389"/>
      <c r="G106" s="244"/>
      <c r="H106" s="244"/>
      <c r="I106" s="244"/>
      <c r="J106" s="244"/>
    </row>
    <row r="107" spans="1:10">
      <c r="A107" s="245"/>
      <c r="D107" s="245"/>
      <c r="F107" s="389"/>
      <c r="G107" s="244"/>
      <c r="H107" s="244"/>
      <c r="I107" s="244"/>
      <c r="J107" s="244"/>
    </row>
    <row r="108" spans="1:10">
      <c r="A108" s="245"/>
      <c r="D108" s="245"/>
      <c r="F108" s="389"/>
      <c r="G108" s="244"/>
      <c r="H108" s="244"/>
      <c r="I108" s="244"/>
      <c r="J108" s="244"/>
    </row>
    <row r="109" spans="1:10">
      <c r="A109" s="245"/>
      <c r="D109" s="245"/>
      <c r="F109" s="389"/>
      <c r="G109" s="244"/>
      <c r="H109" s="244"/>
      <c r="I109" s="244"/>
      <c r="J109" s="244"/>
    </row>
    <row r="110" spans="1:10">
      <c r="A110" s="245"/>
      <c r="D110" s="245"/>
      <c r="F110" s="389"/>
      <c r="G110" s="244"/>
      <c r="H110" s="244"/>
      <c r="I110" s="244"/>
      <c r="J110" s="244"/>
    </row>
    <row r="111" spans="1:10">
      <c r="A111" s="245"/>
      <c r="D111" s="245"/>
      <c r="F111" s="389"/>
      <c r="G111" s="244"/>
      <c r="H111" s="244"/>
      <c r="I111" s="244"/>
      <c r="J111" s="244"/>
    </row>
    <row r="112" spans="1:10">
      <c r="A112" s="245"/>
      <c r="D112" s="245"/>
      <c r="F112" s="389"/>
      <c r="G112" s="244"/>
      <c r="H112" s="244"/>
      <c r="I112" s="244"/>
      <c r="J112" s="244"/>
    </row>
    <row r="113" spans="1:10">
      <c r="A113" s="245"/>
      <c r="D113" s="245"/>
      <c r="F113" s="389"/>
      <c r="G113" s="244"/>
      <c r="H113" s="244"/>
      <c r="I113" s="244"/>
      <c r="J113" s="244"/>
    </row>
    <row r="114" spans="1:10">
      <c r="A114" s="245"/>
      <c r="D114" s="245"/>
      <c r="F114" s="389"/>
      <c r="G114" s="244"/>
      <c r="H114" s="244"/>
      <c r="I114" s="244"/>
      <c r="J114" s="244"/>
    </row>
    <row r="115" spans="1:10">
      <c r="A115" s="245"/>
      <c r="D115" s="245"/>
      <c r="F115" s="389"/>
      <c r="G115" s="244"/>
      <c r="H115" s="244"/>
      <c r="I115" s="244"/>
      <c r="J115" s="244"/>
    </row>
    <row r="116" spans="1:10">
      <c r="A116" s="245"/>
      <c r="D116" s="245"/>
      <c r="F116" s="389"/>
      <c r="G116" s="244"/>
      <c r="H116" s="244"/>
      <c r="I116" s="244"/>
      <c r="J116" s="244"/>
    </row>
    <row r="117" spans="1:10">
      <c r="A117" s="245"/>
      <c r="D117" s="245"/>
      <c r="F117" s="389"/>
      <c r="G117" s="244"/>
      <c r="H117" s="244"/>
      <c r="I117" s="244"/>
      <c r="J117" s="244"/>
    </row>
    <row r="118" spans="1:10">
      <c r="A118" s="245"/>
      <c r="D118" s="245"/>
      <c r="F118" s="389"/>
      <c r="G118" s="244"/>
      <c r="H118" s="244"/>
      <c r="I118" s="244"/>
      <c r="J118" s="244"/>
    </row>
    <row r="119" spans="1:10">
      <c r="A119" s="245"/>
      <c r="D119" s="245"/>
      <c r="F119" s="389"/>
      <c r="G119" s="244"/>
      <c r="H119" s="244"/>
      <c r="I119" s="244"/>
      <c r="J119" s="244"/>
    </row>
    <row r="120" spans="1:10">
      <c r="A120" s="245"/>
      <c r="D120" s="245"/>
      <c r="F120" s="389"/>
      <c r="G120" s="244"/>
      <c r="H120" s="244"/>
      <c r="I120" s="244"/>
      <c r="J120" s="244"/>
    </row>
    <row r="121" spans="1:10">
      <c r="A121" s="245"/>
      <c r="D121" s="245"/>
      <c r="F121" s="389"/>
      <c r="G121" s="244"/>
      <c r="H121" s="244"/>
      <c r="I121" s="244"/>
      <c r="J121" s="244"/>
    </row>
    <row r="122" spans="1:10">
      <c r="A122" s="245"/>
      <c r="D122" s="245"/>
      <c r="F122" s="389"/>
      <c r="G122" s="244"/>
      <c r="H122" s="244"/>
      <c r="I122" s="244"/>
      <c r="J122" s="244"/>
    </row>
    <row r="123" spans="1:10">
      <c r="A123" s="245"/>
      <c r="D123" s="245"/>
      <c r="F123" s="389"/>
      <c r="G123" s="244"/>
      <c r="H123" s="244"/>
      <c r="I123" s="244"/>
      <c r="J123" s="244"/>
    </row>
    <row r="124" spans="1:10">
      <c r="A124" s="245"/>
      <c r="D124" s="245"/>
      <c r="F124" s="389"/>
      <c r="G124" s="244"/>
      <c r="H124" s="244"/>
      <c r="I124" s="244"/>
      <c r="J124" s="244"/>
    </row>
    <row r="125" spans="1:10">
      <c r="A125" s="245"/>
      <c r="D125" s="245"/>
      <c r="F125" s="389"/>
      <c r="G125" s="244"/>
      <c r="H125" s="244"/>
      <c r="I125" s="244"/>
      <c r="J125" s="244"/>
    </row>
    <row r="126" spans="1:10">
      <c r="A126" s="245"/>
      <c r="D126" s="245"/>
      <c r="F126" s="389"/>
      <c r="G126" s="244"/>
      <c r="H126" s="244"/>
      <c r="I126" s="244"/>
      <c r="J126" s="244"/>
    </row>
    <row r="127" spans="1:10">
      <c r="A127" s="245"/>
      <c r="D127" s="245"/>
      <c r="F127" s="389"/>
      <c r="G127" s="244"/>
      <c r="H127" s="244"/>
      <c r="I127" s="244"/>
      <c r="J127" s="244"/>
    </row>
    <row r="128" spans="1:10">
      <c r="A128" s="245"/>
      <c r="D128" s="245"/>
      <c r="F128" s="389"/>
      <c r="G128" s="244"/>
      <c r="H128" s="244"/>
      <c r="I128" s="244"/>
      <c r="J128" s="244"/>
    </row>
    <row r="129" spans="1:10">
      <c r="A129" s="245"/>
      <c r="D129" s="245"/>
      <c r="F129" s="389"/>
      <c r="G129" s="244"/>
      <c r="H129" s="244"/>
      <c r="I129" s="244"/>
      <c r="J129" s="244"/>
    </row>
    <row r="130" spans="1:10">
      <c r="A130" s="245"/>
      <c r="D130" s="245"/>
      <c r="F130" s="389"/>
      <c r="G130" s="244"/>
      <c r="H130" s="244"/>
      <c r="I130" s="244"/>
      <c r="J130" s="244"/>
    </row>
    <row r="131" spans="1:10">
      <c r="A131" s="245"/>
      <c r="D131" s="245"/>
      <c r="F131" s="389"/>
      <c r="G131" s="244"/>
      <c r="H131" s="244"/>
      <c r="I131" s="244"/>
      <c r="J131" s="244"/>
    </row>
    <row r="132" spans="1:10">
      <c r="A132" s="245"/>
      <c r="D132" s="245"/>
      <c r="F132" s="389"/>
      <c r="G132" s="244"/>
      <c r="H132" s="244"/>
      <c r="I132" s="244"/>
      <c r="J132" s="244"/>
    </row>
    <row r="133" spans="1:10">
      <c r="A133" s="245"/>
      <c r="D133" s="245"/>
      <c r="F133" s="389"/>
      <c r="G133" s="244"/>
      <c r="H133" s="244"/>
      <c r="I133" s="244"/>
      <c r="J133" s="244"/>
    </row>
    <row r="134" spans="1:10">
      <c r="A134" s="245"/>
      <c r="D134" s="245"/>
      <c r="F134" s="389"/>
      <c r="G134" s="244"/>
      <c r="H134" s="244"/>
      <c r="I134" s="244"/>
      <c r="J134" s="244"/>
    </row>
    <row r="135" spans="1:10">
      <c r="A135" s="245"/>
      <c r="D135" s="245"/>
      <c r="F135" s="389"/>
      <c r="G135" s="244"/>
      <c r="H135" s="244"/>
      <c r="I135" s="244"/>
      <c r="J135" s="244"/>
    </row>
    <row r="136" spans="1:10">
      <c r="A136" s="245"/>
      <c r="D136" s="245"/>
      <c r="F136" s="389"/>
      <c r="G136" s="244"/>
      <c r="H136" s="244"/>
      <c r="I136" s="244"/>
      <c r="J136" s="244"/>
    </row>
    <row r="137" spans="1:10">
      <c r="A137" s="245"/>
      <c r="D137" s="245"/>
      <c r="F137" s="389"/>
      <c r="G137" s="244"/>
      <c r="H137" s="244"/>
      <c r="I137" s="244"/>
      <c r="J137" s="244"/>
    </row>
    <row r="138" spans="1:10">
      <c r="A138" s="245"/>
      <c r="D138" s="245"/>
      <c r="F138" s="389"/>
      <c r="G138" s="244"/>
      <c r="H138" s="244"/>
      <c r="I138" s="244"/>
      <c r="J138" s="244"/>
    </row>
    <row r="139" spans="1:10">
      <c r="A139" s="245"/>
      <c r="D139" s="245"/>
      <c r="F139" s="389"/>
      <c r="G139" s="244"/>
      <c r="H139" s="244"/>
      <c r="I139" s="244"/>
      <c r="J139" s="244"/>
    </row>
    <row r="140" spans="1:10">
      <c r="A140" s="245"/>
      <c r="D140" s="245"/>
      <c r="F140" s="389"/>
      <c r="G140" s="244"/>
      <c r="H140" s="244"/>
      <c r="I140" s="244"/>
      <c r="J140" s="244"/>
    </row>
    <row r="141" spans="1:10">
      <c r="A141" s="245"/>
      <c r="D141" s="245"/>
      <c r="F141" s="389"/>
      <c r="G141" s="244"/>
      <c r="H141" s="244"/>
      <c r="I141" s="244"/>
      <c r="J141" s="244"/>
    </row>
    <row r="142" spans="1:10">
      <c r="A142" s="245"/>
      <c r="D142" s="245"/>
      <c r="F142" s="389"/>
      <c r="G142" s="244"/>
      <c r="H142" s="244"/>
      <c r="I142" s="244"/>
      <c r="J142" s="244"/>
    </row>
    <row r="143" spans="1:10">
      <c r="A143" s="245"/>
      <c r="D143" s="245"/>
      <c r="F143" s="389"/>
      <c r="G143" s="244"/>
      <c r="H143" s="244"/>
      <c r="I143" s="244"/>
      <c r="J143" s="244"/>
    </row>
    <row r="144" spans="1:10">
      <c r="A144" s="245"/>
      <c r="D144" s="245"/>
      <c r="F144" s="389"/>
      <c r="G144" s="244"/>
      <c r="H144" s="244"/>
      <c r="I144" s="244"/>
      <c r="J144" s="244"/>
    </row>
    <row r="145" spans="1:10">
      <c r="A145" s="245"/>
      <c r="D145" s="245"/>
      <c r="F145" s="389"/>
      <c r="G145" s="244"/>
      <c r="H145" s="244"/>
      <c r="I145" s="244"/>
      <c r="J145" s="244"/>
    </row>
    <row r="146" spans="1:10">
      <c r="A146" s="245"/>
      <c r="D146" s="245"/>
      <c r="F146" s="389"/>
      <c r="G146" s="244"/>
      <c r="H146" s="244"/>
      <c r="I146" s="244"/>
      <c r="J146" s="244"/>
    </row>
    <row r="147" spans="1:10">
      <c r="A147" s="245"/>
      <c r="D147" s="245"/>
      <c r="F147" s="389"/>
      <c r="G147" s="244"/>
      <c r="H147" s="244"/>
      <c r="I147" s="244"/>
      <c r="J147" s="244"/>
    </row>
    <row r="148" spans="1:10">
      <c r="A148" s="245"/>
      <c r="D148" s="245"/>
      <c r="F148" s="389"/>
      <c r="G148" s="244"/>
      <c r="H148" s="244"/>
      <c r="I148" s="244"/>
      <c r="J148" s="244"/>
    </row>
    <row r="149" spans="1:10">
      <c r="A149" s="245"/>
      <c r="D149" s="245"/>
      <c r="F149" s="389"/>
      <c r="G149" s="244"/>
      <c r="H149" s="244"/>
      <c r="I149" s="244"/>
      <c r="J149" s="244"/>
    </row>
    <row r="150" spans="1:10">
      <c r="A150" s="245"/>
      <c r="D150" s="245"/>
      <c r="F150" s="389"/>
      <c r="G150" s="244"/>
      <c r="H150" s="244"/>
      <c r="I150" s="244"/>
      <c r="J150" s="244"/>
    </row>
    <row r="151" spans="1:10">
      <c r="A151" s="245"/>
      <c r="D151" s="245"/>
      <c r="F151" s="389"/>
      <c r="G151" s="244"/>
      <c r="H151" s="244"/>
      <c r="I151" s="244"/>
      <c r="J151" s="244"/>
    </row>
    <row r="152" spans="1:10">
      <c r="A152" s="245"/>
      <c r="D152" s="245"/>
      <c r="F152" s="389"/>
      <c r="G152" s="244"/>
      <c r="H152" s="244"/>
      <c r="I152" s="244"/>
      <c r="J152" s="244"/>
    </row>
    <row r="153" spans="1:10">
      <c r="A153" s="245"/>
      <c r="D153" s="245"/>
      <c r="F153" s="389"/>
      <c r="G153" s="244"/>
      <c r="H153" s="244"/>
      <c r="I153" s="244"/>
      <c r="J153" s="244"/>
    </row>
    <row r="154" spans="1:10">
      <c r="A154" s="245"/>
      <c r="D154" s="245"/>
      <c r="F154" s="389"/>
      <c r="G154" s="244"/>
      <c r="H154" s="244"/>
      <c r="I154" s="244"/>
      <c r="J154" s="244"/>
    </row>
    <row r="155" spans="1:10">
      <c r="A155" s="245"/>
      <c r="D155" s="245"/>
      <c r="F155" s="389"/>
      <c r="G155" s="244"/>
      <c r="H155" s="244"/>
      <c r="I155" s="244"/>
      <c r="J155" s="244"/>
    </row>
    <row r="156" spans="1:10">
      <c r="A156" s="245"/>
      <c r="D156" s="245"/>
      <c r="F156" s="389"/>
      <c r="G156" s="244"/>
      <c r="H156" s="244"/>
      <c r="I156" s="244"/>
      <c r="J156" s="244"/>
    </row>
    <row r="157" spans="1:10">
      <c r="A157" s="245"/>
      <c r="D157" s="245"/>
      <c r="F157" s="389"/>
      <c r="G157" s="244"/>
      <c r="H157" s="244"/>
      <c r="I157" s="244"/>
      <c r="J157" s="244"/>
    </row>
    <row r="158" spans="1:10">
      <c r="A158" s="245"/>
      <c r="D158" s="245"/>
      <c r="F158" s="389"/>
      <c r="G158" s="244"/>
      <c r="H158" s="244"/>
      <c r="I158" s="244"/>
      <c r="J158" s="244"/>
    </row>
    <row r="159" spans="1:10">
      <c r="A159" s="245"/>
      <c r="D159" s="245"/>
      <c r="F159" s="389"/>
      <c r="G159" s="244"/>
      <c r="H159" s="244"/>
      <c r="I159" s="244"/>
      <c r="J159" s="244"/>
    </row>
    <row r="160" spans="1:10">
      <c r="A160" s="245"/>
      <c r="D160" s="245"/>
      <c r="F160" s="389"/>
      <c r="G160" s="244"/>
      <c r="H160" s="244"/>
      <c r="I160" s="244"/>
      <c r="J160" s="244"/>
    </row>
    <row r="161" spans="1:10">
      <c r="A161" s="245"/>
      <c r="D161" s="245"/>
      <c r="F161" s="389"/>
      <c r="G161" s="244"/>
      <c r="H161" s="244"/>
      <c r="I161" s="244"/>
      <c r="J161" s="244"/>
    </row>
    <row r="162" spans="1:10">
      <c r="A162" s="245"/>
      <c r="D162" s="245"/>
      <c r="F162" s="389"/>
      <c r="G162" s="244"/>
      <c r="H162" s="244"/>
      <c r="I162" s="244"/>
      <c r="J162" s="244"/>
    </row>
    <row r="163" spans="1:10">
      <c r="A163" s="245"/>
      <c r="D163" s="245"/>
      <c r="F163" s="389"/>
      <c r="G163" s="244"/>
      <c r="H163" s="244"/>
      <c r="I163" s="244"/>
      <c r="J163" s="244"/>
    </row>
    <row r="164" spans="1:10">
      <c r="A164" s="245"/>
      <c r="D164" s="245"/>
      <c r="F164" s="389"/>
      <c r="G164" s="244"/>
      <c r="H164" s="244"/>
      <c r="I164" s="244"/>
      <c r="J164" s="244"/>
    </row>
    <row r="165" spans="1:10">
      <c r="A165" s="245"/>
      <c r="D165" s="245"/>
      <c r="F165" s="389"/>
      <c r="G165" s="244"/>
      <c r="H165" s="244"/>
      <c r="I165" s="244"/>
      <c r="J165" s="244"/>
    </row>
    <row r="166" spans="1:10">
      <c r="A166" s="245"/>
      <c r="D166" s="245"/>
      <c r="F166" s="389"/>
      <c r="G166" s="244"/>
      <c r="H166" s="244"/>
      <c r="I166" s="244"/>
      <c r="J166" s="244"/>
    </row>
    <row r="167" spans="1:10">
      <c r="A167" s="245"/>
      <c r="D167" s="245"/>
      <c r="F167" s="389"/>
      <c r="G167" s="244"/>
      <c r="H167" s="244"/>
      <c r="I167" s="244"/>
      <c r="J167" s="244"/>
    </row>
    <row r="168" spans="1:10">
      <c r="A168" s="245"/>
      <c r="D168" s="245"/>
      <c r="F168" s="389"/>
      <c r="G168" s="244"/>
      <c r="H168" s="244"/>
      <c r="I168" s="244"/>
      <c r="J168" s="244"/>
    </row>
    <row r="169" spans="1:10">
      <c r="A169" s="245"/>
      <c r="D169" s="245"/>
      <c r="F169" s="389"/>
      <c r="G169" s="244"/>
      <c r="H169" s="244"/>
      <c r="I169" s="244"/>
      <c r="J169" s="244"/>
    </row>
    <row r="170" spans="1:10">
      <c r="A170" s="245"/>
      <c r="D170" s="245"/>
      <c r="F170" s="389"/>
      <c r="G170" s="244"/>
      <c r="H170" s="244"/>
      <c r="I170" s="244"/>
      <c r="J170" s="244"/>
    </row>
    <row r="171" spans="1:10">
      <c r="A171" s="245"/>
      <c r="D171" s="245"/>
      <c r="F171" s="389"/>
      <c r="G171" s="244"/>
      <c r="H171" s="244"/>
      <c r="I171" s="244"/>
      <c r="J171" s="244"/>
    </row>
    <row r="172" spans="1:10">
      <c r="A172" s="245"/>
      <c r="D172" s="245"/>
      <c r="F172" s="389"/>
      <c r="G172" s="244"/>
      <c r="H172" s="244"/>
      <c r="I172" s="244"/>
      <c r="J172" s="244"/>
    </row>
    <row r="173" spans="1:10">
      <c r="A173" s="245"/>
      <c r="D173" s="245"/>
      <c r="F173" s="389"/>
      <c r="G173" s="244"/>
      <c r="H173" s="244"/>
      <c r="I173" s="244"/>
      <c r="J173" s="244"/>
    </row>
    <row r="174" spans="1:10">
      <c r="A174" s="245"/>
      <c r="D174" s="245"/>
      <c r="F174" s="389"/>
      <c r="G174" s="244"/>
      <c r="H174" s="244"/>
      <c r="I174" s="244"/>
      <c r="J174" s="244"/>
    </row>
    <row r="175" spans="1:10">
      <c r="A175" s="245"/>
      <c r="D175" s="245"/>
      <c r="F175" s="389"/>
      <c r="G175" s="244"/>
      <c r="H175" s="244"/>
      <c r="I175" s="244"/>
      <c r="J175" s="244"/>
    </row>
    <row r="176" spans="1:10">
      <c r="A176" s="245"/>
      <c r="D176" s="245"/>
      <c r="F176" s="389"/>
      <c r="G176" s="244"/>
      <c r="H176" s="244"/>
      <c r="I176" s="244"/>
      <c r="J176" s="244"/>
    </row>
    <row r="177" spans="1:10">
      <c r="A177" s="245"/>
      <c r="D177" s="245"/>
      <c r="F177" s="389"/>
      <c r="G177" s="244"/>
      <c r="H177" s="244"/>
      <c r="I177" s="244"/>
      <c r="J177" s="244"/>
    </row>
    <row r="178" spans="1:10">
      <c r="A178" s="245"/>
      <c r="D178" s="245"/>
      <c r="F178" s="389"/>
      <c r="G178" s="244"/>
      <c r="H178" s="244"/>
      <c r="I178" s="244"/>
      <c r="J178" s="244"/>
    </row>
    <row r="179" spans="1:10">
      <c r="A179" s="245"/>
      <c r="D179" s="245"/>
      <c r="F179" s="389"/>
      <c r="G179" s="244"/>
      <c r="H179" s="244"/>
      <c r="I179" s="244"/>
      <c r="J179" s="244"/>
    </row>
    <row r="180" spans="1:10">
      <c r="A180" s="245"/>
      <c r="D180" s="245"/>
      <c r="F180" s="389"/>
      <c r="G180" s="244"/>
      <c r="H180" s="244"/>
      <c r="I180" s="244"/>
      <c r="J180" s="244"/>
    </row>
    <row r="181" spans="1:10">
      <c r="A181" s="245"/>
      <c r="D181" s="245"/>
      <c r="F181" s="389"/>
      <c r="G181" s="244"/>
      <c r="H181" s="244"/>
      <c r="I181" s="244"/>
      <c r="J181" s="244"/>
    </row>
    <row r="182" spans="1:10">
      <c r="A182" s="245"/>
      <c r="D182" s="245"/>
      <c r="F182" s="389"/>
      <c r="G182" s="244"/>
      <c r="H182" s="244"/>
      <c r="I182" s="244"/>
      <c r="J182" s="244"/>
    </row>
    <row r="183" spans="1:10">
      <c r="A183" s="245"/>
      <c r="D183" s="245"/>
      <c r="F183" s="389"/>
      <c r="G183" s="244"/>
      <c r="H183" s="244"/>
      <c r="I183" s="244"/>
      <c r="J183" s="244"/>
    </row>
    <row r="184" spans="1:10">
      <c r="A184" s="245"/>
      <c r="D184" s="245"/>
      <c r="F184" s="389"/>
      <c r="G184" s="244"/>
      <c r="H184" s="244"/>
      <c r="I184" s="244"/>
      <c r="J184" s="244"/>
    </row>
    <row r="185" spans="1:10">
      <c r="A185" s="245"/>
      <c r="D185" s="245"/>
      <c r="F185" s="389"/>
      <c r="G185" s="244"/>
      <c r="H185" s="244"/>
      <c r="I185" s="244"/>
      <c r="J185" s="244"/>
    </row>
    <row r="186" spans="1:10">
      <c r="A186" s="245"/>
      <c r="D186" s="245"/>
      <c r="F186" s="389"/>
      <c r="G186" s="244"/>
      <c r="H186" s="244"/>
      <c r="I186" s="244"/>
      <c r="J186" s="244"/>
    </row>
    <row r="187" spans="1:10">
      <c r="A187" s="245"/>
      <c r="D187" s="245"/>
      <c r="F187" s="389"/>
      <c r="G187" s="244"/>
      <c r="H187" s="244"/>
      <c r="I187" s="244"/>
      <c r="J187" s="244"/>
    </row>
    <row r="188" spans="1:10">
      <c r="A188" s="245"/>
      <c r="D188" s="245"/>
      <c r="F188" s="389"/>
      <c r="G188" s="244"/>
      <c r="H188" s="244"/>
      <c r="I188" s="244"/>
      <c r="J188" s="244"/>
    </row>
    <row r="189" spans="1:10">
      <c r="A189" s="245"/>
      <c r="D189" s="245"/>
      <c r="F189" s="389"/>
      <c r="G189" s="244"/>
      <c r="H189" s="244"/>
      <c r="I189" s="244"/>
      <c r="J189" s="244"/>
    </row>
    <row r="190" spans="1:10">
      <c r="A190" s="245"/>
      <c r="D190" s="245"/>
      <c r="F190" s="389"/>
      <c r="G190" s="244"/>
      <c r="H190" s="244"/>
      <c r="I190" s="244"/>
      <c r="J190" s="244"/>
    </row>
    <row r="191" spans="1:10">
      <c r="A191" s="245"/>
      <c r="D191" s="245"/>
      <c r="F191" s="389"/>
      <c r="G191" s="244"/>
      <c r="H191" s="244"/>
      <c r="I191" s="244"/>
      <c r="J191" s="244"/>
    </row>
    <row r="192" spans="1:10">
      <c r="A192" s="245"/>
      <c r="D192" s="245"/>
      <c r="F192" s="389"/>
      <c r="G192" s="244"/>
      <c r="H192" s="244"/>
      <c r="I192" s="244"/>
      <c r="J192" s="244"/>
    </row>
    <row r="193" spans="1:10">
      <c r="A193" s="245"/>
      <c r="D193" s="245"/>
      <c r="F193" s="389"/>
      <c r="G193" s="244"/>
      <c r="H193" s="244"/>
      <c r="I193" s="244"/>
      <c r="J193" s="244"/>
    </row>
    <row r="194" spans="1:10">
      <c r="A194" s="245"/>
      <c r="D194" s="245"/>
      <c r="F194" s="389"/>
      <c r="G194" s="244"/>
      <c r="H194" s="244"/>
      <c r="I194" s="244"/>
      <c r="J194" s="244"/>
    </row>
    <row r="195" spans="1:10">
      <c r="A195" s="245"/>
      <c r="D195" s="245"/>
      <c r="F195" s="389"/>
      <c r="G195" s="244"/>
      <c r="H195" s="244"/>
      <c r="I195" s="244"/>
      <c r="J195" s="244"/>
    </row>
    <row r="196" spans="1:10">
      <c r="A196" s="245"/>
      <c r="D196" s="245"/>
      <c r="F196" s="389"/>
      <c r="G196" s="244"/>
      <c r="H196" s="244"/>
      <c r="I196" s="244"/>
      <c r="J196" s="244"/>
    </row>
    <row r="197" spans="1:10">
      <c r="A197" s="245"/>
      <c r="D197" s="245"/>
      <c r="F197" s="389"/>
      <c r="G197" s="244"/>
      <c r="H197" s="244"/>
      <c r="I197" s="244"/>
      <c r="J197" s="244"/>
    </row>
    <row r="198" spans="1:10">
      <c r="A198" s="245"/>
      <c r="D198" s="245"/>
      <c r="F198" s="389"/>
      <c r="G198" s="244"/>
      <c r="H198" s="244"/>
      <c r="I198" s="244"/>
      <c r="J198" s="244"/>
    </row>
    <row r="199" spans="1:10">
      <c r="A199" s="245"/>
      <c r="D199" s="245"/>
      <c r="F199" s="389"/>
      <c r="G199" s="244"/>
      <c r="H199" s="244"/>
      <c r="I199" s="244"/>
      <c r="J199" s="244"/>
    </row>
    <row r="200" spans="1:10">
      <c r="A200" s="245"/>
      <c r="D200" s="245"/>
      <c r="F200" s="389"/>
      <c r="G200" s="244"/>
      <c r="H200" s="244"/>
      <c r="I200" s="244"/>
      <c r="J200" s="244"/>
    </row>
    <row r="201" spans="1:10">
      <c r="A201" s="245"/>
      <c r="D201" s="245"/>
      <c r="F201" s="389"/>
      <c r="G201" s="244"/>
      <c r="H201" s="244"/>
      <c r="I201" s="244"/>
      <c r="J201" s="244"/>
    </row>
    <row r="202" spans="1:10">
      <c r="A202" s="245"/>
      <c r="D202" s="245"/>
      <c r="F202" s="389"/>
      <c r="G202" s="244"/>
      <c r="H202" s="244"/>
      <c r="I202" s="244"/>
      <c r="J202" s="244"/>
    </row>
    <row r="203" spans="1:10">
      <c r="A203" s="245"/>
      <c r="D203" s="245"/>
      <c r="F203" s="389"/>
      <c r="G203" s="244"/>
      <c r="H203" s="244"/>
      <c r="I203" s="244"/>
      <c r="J203" s="244"/>
    </row>
    <row r="204" spans="1:10">
      <c r="A204" s="245"/>
      <c r="D204" s="245"/>
      <c r="F204" s="389"/>
      <c r="G204" s="244"/>
      <c r="H204" s="244"/>
      <c r="I204" s="244"/>
      <c r="J204" s="244"/>
    </row>
    <row r="205" spans="1:10">
      <c r="A205" s="245"/>
      <c r="D205" s="245"/>
      <c r="F205" s="389"/>
      <c r="G205" s="244"/>
      <c r="H205" s="244"/>
      <c r="I205" s="244"/>
      <c r="J205" s="244"/>
    </row>
    <row r="206" spans="1:10">
      <c r="A206" s="245"/>
      <c r="D206" s="245"/>
      <c r="F206" s="389"/>
      <c r="G206" s="244"/>
      <c r="H206" s="244"/>
      <c r="I206" s="244"/>
      <c r="J206" s="244"/>
    </row>
    <row r="207" spans="1:10">
      <c r="A207" s="245"/>
      <c r="D207" s="245"/>
      <c r="F207" s="389"/>
      <c r="G207" s="244"/>
      <c r="H207" s="244"/>
      <c r="I207" s="244"/>
      <c r="J207" s="244"/>
    </row>
    <row r="208" spans="1:10">
      <c r="A208" s="245"/>
      <c r="D208" s="245"/>
      <c r="F208" s="389"/>
      <c r="G208" s="244"/>
      <c r="H208" s="244"/>
      <c r="I208" s="244"/>
      <c r="J208" s="244"/>
    </row>
    <row r="209" spans="1:10">
      <c r="A209" s="245"/>
      <c r="D209" s="245"/>
      <c r="F209" s="389"/>
      <c r="G209" s="244"/>
      <c r="H209" s="244"/>
      <c r="I209" s="244"/>
      <c r="J209" s="244"/>
    </row>
    <row r="210" spans="1:10">
      <c r="A210" s="245"/>
      <c r="D210" s="245"/>
      <c r="F210" s="389"/>
      <c r="G210" s="244"/>
      <c r="H210" s="244"/>
      <c r="I210" s="244"/>
      <c r="J210" s="244"/>
    </row>
    <row r="211" spans="1:10">
      <c r="A211" s="245"/>
      <c r="D211" s="245"/>
      <c r="F211" s="389"/>
      <c r="G211" s="244"/>
      <c r="H211" s="244"/>
      <c r="I211" s="244"/>
      <c r="J211" s="244"/>
    </row>
    <row r="212" spans="1:10">
      <c r="A212" s="245"/>
      <c r="D212" s="245"/>
      <c r="F212" s="389"/>
      <c r="G212" s="244"/>
      <c r="H212" s="244"/>
      <c r="I212" s="244"/>
      <c r="J212" s="244"/>
    </row>
    <row r="213" spans="1:10">
      <c r="A213" s="245"/>
      <c r="D213" s="245"/>
      <c r="F213" s="389"/>
      <c r="G213" s="244"/>
      <c r="H213" s="244"/>
      <c r="I213" s="244"/>
      <c r="J213" s="244"/>
    </row>
    <row r="214" spans="1:10">
      <c r="A214" s="245"/>
      <c r="D214" s="245"/>
      <c r="F214" s="389"/>
      <c r="G214" s="244"/>
      <c r="H214" s="244"/>
      <c r="I214" s="244"/>
      <c r="J214" s="244"/>
    </row>
    <row r="215" spans="1:10">
      <c r="A215" s="245"/>
      <c r="D215" s="245"/>
      <c r="F215" s="389"/>
      <c r="G215" s="244"/>
      <c r="H215" s="244"/>
      <c r="I215" s="244"/>
      <c r="J215" s="244"/>
    </row>
    <row r="216" spans="1:10">
      <c r="A216" s="245"/>
      <c r="D216" s="245"/>
      <c r="F216" s="389"/>
      <c r="G216" s="244"/>
      <c r="H216" s="244"/>
      <c r="I216" s="244"/>
      <c r="J216" s="244"/>
    </row>
    <row r="217" spans="1:10">
      <c r="A217" s="245"/>
      <c r="D217" s="245"/>
      <c r="F217" s="389"/>
      <c r="G217" s="244"/>
      <c r="H217" s="244"/>
      <c r="I217" s="244"/>
      <c r="J217" s="244"/>
    </row>
    <row r="218" spans="1:10">
      <c r="A218" s="245"/>
      <c r="D218" s="245"/>
      <c r="F218" s="389"/>
      <c r="G218" s="244"/>
      <c r="H218" s="244"/>
      <c r="I218" s="244"/>
      <c r="J218" s="244"/>
    </row>
    <row r="219" spans="1:10">
      <c r="A219" s="245"/>
      <c r="D219" s="245"/>
      <c r="F219" s="389"/>
      <c r="G219" s="244"/>
      <c r="H219" s="244"/>
      <c r="I219" s="244"/>
      <c r="J219" s="244"/>
    </row>
    <row r="220" spans="1:10">
      <c r="A220" s="245"/>
      <c r="D220" s="245"/>
      <c r="F220" s="389"/>
      <c r="G220" s="244"/>
      <c r="H220" s="244"/>
      <c r="I220" s="244"/>
      <c r="J220" s="244"/>
    </row>
    <row r="221" spans="1:10">
      <c r="A221" s="245"/>
      <c r="D221" s="245"/>
      <c r="F221" s="389"/>
      <c r="G221" s="244"/>
      <c r="H221" s="244"/>
      <c r="I221" s="244"/>
      <c r="J221" s="244"/>
    </row>
    <row r="222" spans="1:10">
      <c r="A222" s="245"/>
      <c r="D222" s="245"/>
      <c r="F222" s="389"/>
      <c r="G222" s="244"/>
      <c r="H222" s="244"/>
      <c r="I222" s="244"/>
      <c r="J222" s="244"/>
    </row>
    <row r="223" spans="1:10">
      <c r="A223" s="245"/>
      <c r="D223" s="245"/>
      <c r="F223" s="389"/>
      <c r="G223" s="244"/>
      <c r="H223" s="244"/>
      <c r="I223" s="244"/>
      <c r="J223" s="244"/>
    </row>
    <row r="224" spans="1:10">
      <c r="A224" s="245"/>
      <c r="D224" s="245"/>
      <c r="F224" s="389"/>
      <c r="G224" s="244"/>
      <c r="H224" s="244"/>
      <c r="I224" s="244"/>
      <c r="J224" s="244"/>
    </row>
    <row r="225" spans="1:10">
      <c r="A225" s="245"/>
      <c r="D225" s="245"/>
      <c r="F225" s="389"/>
      <c r="G225" s="244"/>
      <c r="H225" s="244"/>
      <c r="I225" s="244"/>
      <c r="J225" s="244"/>
    </row>
    <row r="226" spans="1:10">
      <c r="A226" s="245"/>
      <c r="D226" s="245"/>
      <c r="F226" s="389"/>
      <c r="G226" s="244"/>
      <c r="H226" s="244"/>
      <c r="I226" s="244"/>
      <c r="J226" s="244"/>
    </row>
    <row r="227" spans="1:10">
      <c r="A227" s="245"/>
      <c r="D227" s="245"/>
      <c r="F227" s="389"/>
      <c r="G227" s="244"/>
      <c r="H227" s="244"/>
      <c r="I227" s="244"/>
      <c r="J227" s="244"/>
    </row>
    <row r="228" spans="1:10">
      <c r="A228" s="245"/>
      <c r="D228" s="245"/>
      <c r="F228" s="389"/>
      <c r="G228" s="244"/>
      <c r="H228" s="244"/>
      <c r="I228" s="244"/>
      <c r="J228" s="244"/>
    </row>
    <row r="229" spans="1:10">
      <c r="A229" s="245"/>
      <c r="D229" s="245"/>
      <c r="F229" s="389"/>
      <c r="G229" s="244"/>
      <c r="H229" s="244"/>
      <c r="I229" s="244"/>
      <c r="J229" s="244"/>
    </row>
    <row r="230" spans="1:10">
      <c r="A230" s="245"/>
      <c r="D230" s="245"/>
      <c r="F230" s="389"/>
      <c r="G230" s="244"/>
      <c r="H230" s="244"/>
      <c r="I230" s="244"/>
      <c r="J230" s="244"/>
    </row>
    <row r="231" spans="1:10">
      <c r="A231" s="245"/>
      <c r="D231" s="245"/>
      <c r="F231" s="389"/>
      <c r="G231" s="244"/>
      <c r="H231" s="244"/>
      <c r="I231" s="244"/>
      <c r="J231" s="244"/>
    </row>
    <row r="232" spans="1:10">
      <c r="A232" s="245"/>
      <c r="D232" s="245"/>
      <c r="F232" s="389"/>
      <c r="G232" s="244"/>
      <c r="H232" s="244"/>
      <c r="I232" s="244"/>
      <c r="J232" s="244"/>
    </row>
    <row r="233" spans="1:10">
      <c r="A233" s="245"/>
      <c r="D233" s="245"/>
      <c r="F233" s="389"/>
      <c r="G233" s="244"/>
      <c r="H233" s="244"/>
      <c r="I233" s="244"/>
      <c r="J233" s="244"/>
    </row>
    <row r="234" spans="1:10">
      <c r="A234" s="245"/>
      <c r="D234" s="245"/>
      <c r="F234" s="389"/>
      <c r="G234" s="244"/>
      <c r="H234" s="244"/>
      <c r="I234" s="244"/>
      <c r="J234" s="244"/>
    </row>
    <row r="235" spans="1:10">
      <c r="A235" s="245"/>
      <c r="D235" s="245"/>
      <c r="F235" s="389"/>
      <c r="G235" s="244"/>
      <c r="H235" s="244"/>
      <c r="I235" s="244"/>
      <c r="J235" s="244"/>
    </row>
    <row r="236" spans="1:10">
      <c r="A236" s="245"/>
      <c r="D236" s="245"/>
      <c r="F236" s="389"/>
      <c r="G236" s="244"/>
      <c r="H236" s="244"/>
      <c r="I236" s="244"/>
      <c r="J236" s="244"/>
    </row>
    <row r="237" spans="1:10">
      <c r="A237" s="245"/>
      <c r="D237" s="245"/>
      <c r="F237" s="389"/>
      <c r="G237" s="244"/>
      <c r="H237" s="244"/>
      <c r="I237" s="244"/>
      <c r="J237" s="244"/>
    </row>
    <row r="238" spans="1:10">
      <c r="A238" s="245"/>
      <c r="D238" s="245"/>
      <c r="F238" s="389"/>
      <c r="G238" s="244"/>
      <c r="H238" s="244"/>
      <c r="I238" s="244"/>
      <c r="J238" s="244"/>
    </row>
    <row r="239" spans="1:10">
      <c r="A239" s="245"/>
      <c r="D239" s="245"/>
      <c r="F239" s="389"/>
      <c r="G239" s="244"/>
      <c r="H239" s="244"/>
      <c r="I239" s="244"/>
      <c r="J239" s="244"/>
    </row>
    <row r="240" spans="1:10">
      <c r="A240" s="245"/>
      <c r="D240" s="245"/>
      <c r="F240" s="389"/>
      <c r="G240" s="244"/>
      <c r="H240" s="244"/>
      <c r="I240" s="244"/>
      <c r="J240" s="244"/>
    </row>
    <row r="241" spans="1:10">
      <c r="A241" s="245"/>
      <c r="D241" s="245"/>
      <c r="F241" s="389"/>
      <c r="G241" s="244"/>
      <c r="H241" s="244"/>
      <c r="I241" s="244"/>
      <c r="J241" s="244"/>
    </row>
    <row r="242" spans="1:10">
      <c r="A242" s="245"/>
      <c r="D242" s="245"/>
      <c r="F242" s="389"/>
      <c r="G242" s="244"/>
      <c r="H242" s="244"/>
      <c r="I242" s="244"/>
      <c r="J242" s="244"/>
    </row>
    <row r="243" spans="1:10">
      <c r="A243" s="245"/>
      <c r="D243" s="245"/>
      <c r="F243" s="389"/>
      <c r="G243" s="244"/>
      <c r="H243" s="244"/>
      <c r="I243" s="244"/>
      <c r="J243" s="244"/>
    </row>
    <row r="244" spans="1:10">
      <c r="A244" s="245"/>
      <c r="D244" s="245"/>
      <c r="F244" s="389"/>
      <c r="G244" s="244"/>
      <c r="H244" s="244"/>
      <c r="I244" s="244"/>
      <c r="J244" s="244"/>
    </row>
    <row r="245" spans="1:10">
      <c r="A245" s="245"/>
      <c r="D245" s="245"/>
      <c r="F245" s="389"/>
      <c r="G245" s="244"/>
      <c r="H245" s="244"/>
      <c r="I245" s="244"/>
      <c r="J245" s="244"/>
    </row>
    <row r="246" spans="1:10">
      <c r="A246" s="245"/>
      <c r="D246" s="245"/>
      <c r="F246" s="389"/>
      <c r="G246" s="244"/>
      <c r="H246" s="244"/>
      <c r="I246" s="244"/>
      <c r="J246" s="244"/>
    </row>
    <row r="247" spans="1:10">
      <c r="A247" s="245"/>
      <c r="D247" s="245"/>
      <c r="F247" s="389"/>
      <c r="G247" s="244"/>
      <c r="H247" s="244"/>
      <c r="I247" s="244"/>
      <c r="J247" s="244"/>
    </row>
    <row r="248" spans="1:10">
      <c r="A248" s="245"/>
      <c r="D248" s="245"/>
      <c r="F248" s="389"/>
      <c r="G248" s="244"/>
      <c r="H248" s="244"/>
      <c r="I248" s="244"/>
      <c r="J248" s="244"/>
    </row>
    <row r="249" spans="1:10">
      <c r="A249" s="245"/>
      <c r="D249" s="245"/>
      <c r="F249" s="389"/>
      <c r="G249" s="244"/>
      <c r="H249" s="244"/>
      <c r="I249" s="244"/>
      <c r="J249" s="244"/>
    </row>
    <row r="250" spans="1:10">
      <c r="A250" s="245"/>
      <c r="D250" s="245"/>
      <c r="F250" s="389"/>
      <c r="G250" s="244"/>
      <c r="H250" s="244"/>
      <c r="I250" s="244"/>
      <c r="J250" s="244"/>
    </row>
    <row r="251" spans="1:10">
      <c r="A251" s="245"/>
      <c r="D251" s="245"/>
      <c r="F251" s="389"/>
      <c r="G251" s="244"/>
      <c r="H251" s="244"/>
      <c r="I251" s="244"/>
      <c r="J251" s="244"/>
    </row>
    <row r="252" spans="1:10">
      <c r="A252" s="245"/>
      <c r="D252" s="245"/>
      <c r="F252" s="389"/>
      <c r="G252" s="244"/>
      <c r="H252" s="244"/>
      <c r="I252" s="244"/>
      <c r="J252" s="244"/>
    </row>
    <row r="253" spans="1:10">
      <c r="A253" s="245"/>
      <c r="D253" s="245"/>
      <c r="F253" s="389"/>
      <c r="G253" s="244"/>
      <c r="H253" s="244"/>
      <c r="I253" s="244"/>
      <c r="J253" s="244"/>
    </row>
    <row r="254" spans="1:10">
      <c r="A254" s="245"/>
      <c r="D254" s="245"/>
      <c r="F254" s="389"/>
      <c r="G254" s="244"/>
      <c r="H254" s="244"/>
      <c r="I254" s="244"/>
      <c r="J254" s="244"/>
    </row>
    <row r="255" spans="1:10">
      <c r="A255" s="245"/>
      <c r="D255" s="245"/>
      <c r="F255" s="389"/>
      <c r="G255" s="244"/>
      <c r="H255" s="244"/>
      <c r="I255" s="244"/>
      <c r="J255" s="244"/>
    </row>
    <row r="256" spans="1:10">
      <c r="A256" s="245"/>
      <c r="D256" s="245"/>
      <c r="F256" s="389"/>
      <c r="G256" s="244"/>
      <c r="H256" s="244"/>
      <c r="I256" s="244"/>
      <c r="J256" s="244"/>
    </row>
    <row r="257" spans="1:10">
      <c r="A257" s="245"/>
      <c r="D257" s="245"/>
      <c r="F257" s="389"/>
      <c r="G257" s="244"/>
      <c r="H257" s="244"/>
      <c r="I257" s="244"/>
      <c r="J257" s="244"/>
    </row>
    <row r="258" spans="1:10">
      <c r="A258" s="245"/>
      <c r="D258" s="245"/>
      <c r="F258" s="389"/>
      <c r="G258" s="244"/>
      <c r="H258" s="244"/>
      <c r="I258" s="244"/>
      <c r="J258" s="244"/>
    </row>
    <row r="259" spans="1:10">
      <c r="A259" s="245"/>
      <c r="D259" s="245"/>
      <c r="F259" s="389"/>
      <c r="G259" s="244"/>
      <c r="H259" s="244"/>
      <c r="I259" s="244"/>
      <c r="J259" s="244"/>
    </row>
    <row r="260" spans="1:10">
      <c r="A260" s="245"/>
      <c r="D260" s="245"/>
      <c r="F260" s="389"/>
      <c r="G260" s="244"/>
      <c r="H260" s="244"/>
      <c r="I260" s="244"/>
      <c r="J260" s="244"/>
    </row>
    <row r="261" spans="1:10">
      <c r="A261" s="245"/>
      <c r="D261" s="245"/>
      <c r="F261" s="389"/>
      <c r="G261" s="244"/>
      <c r="H261" s="244"/>
      <c r="I261" s="244"/>
      <c r="J261" s="244"/>
    </row>
    <row r="262" spans="1:10">
      <c r="A262" s="245"/>
      <c r="D262" s="245"/>
      <c r="F262" s="389"/>
      <c r="G262" s="244"/>
      <c r="H262" s="244"/>
      <c r="I262" s="244"/>
      <c r="J262" s="244"/>
    </row>
    <row r="263" spans="1:10">
      <c r="A263" s="245"/>
      <c r="D263" s="245"/>
      <c r="F263" s="389"/>
      <c r="G263" s="244"/>
      <c r="H263" s="244"/>
      <c r="I263" s="244"/>
      <c r="J263" s="244"/>
    </row>
    <row r="264" spans="1:10">
      <c r="A264" s="245"/>
      <c r="D264" s="245"/>
      <c r="F264" s="389"/>
      <c r="G264" s="244"/>
      <c r="H264" s="244"/>
      <c r="I264" s="244"/>
      <c r="J264" s="244"/>
    </row>
    <row r="265" spans="1:10">
      <c r="A265" s="245"/>
      <c r="D265" s="245"/>
      <c r="F265" s="389"/>
      <c r="G265" s="244"/>
      <c r="H265" s="244"/>
      <c r="I265" s="244"/>
      <c r="J265" s="244"/>
    </row>
    <row r="266" spans="1:10">
      <c r="A266" s="245"/>
      <c r="D266" s="245"/>
      <c r="F266" s="389"/>
      <c r="G266" s="244"/>
      <c r="H266" s="244"/>
      <c r="I266" s="244"/>
      <c r="J266" s="244"/>
    </row>
    <row r="267" spans="1:10">
      <c r="A267" s="245"/>
      <c r="D267" s="245"/>
      <c r="F267" s="389"/>
      <c r="G267" s="244"/>
      <c r="H267" s="244"/>
      <c r="I267" s="244"/>
      <c r="J267" s="244"/>
    </row>
    <row r="268" spans="1:10">
      <c r="A268" s="245"/>
      <c r="D268" s="245"/>
      <c r="F268" s="389"/>
      <c r="G268" s="244"/>
      <c r="H268" s="244"/>
      <c r="I268" s="244"/>
      <c r="J268" s="244"/>
    </row>
    <row r="269" spans="1:10">
      <c r="A269" s="245"/>
      <c r="D269" s="245"/>
      <c r="F269" s="389"/>
      <c r="G269" s="244"/>
      <c r="H269" s="244"/>
      <c r="I269" s="244"/>
      <c r="J269" s="244"/>
    </row>
    <row r="270" spans="1:10">
      <c r="A270" s="245"/>
      <c r="D270" s="245"/>
      <c r="F270" s="389"/>
      <c r="G270" s="244"/>
      <c r="H270" s="244"/>
      <c r="I270" s="244"/>
      <c r="J270" s="244"/>
    </row>
    <row r="271" spans="1:10">
      <c r="A271" s="245"/>
      <c r="D271" s="245"/>
      <c r="F271" s="389"/>
      <c r="G271" s="244"/>
      <c r="H271" s="244"/>
      <c r="I271" s="244"/>
      <c r="J271" s="244"/>
    </row>
    <row r="272" spans="1:10">
      <c r="A272" s="245"/>
      <c r="D272" s="245"/>
      <c r="F272" s="389"/>
      <c r="G272" s="244"/>
      <c r="H272" s="244"/>
      <c r="I272" s="244"/>
      <c r="J272" s="244"/>
    </row>
    <row r="273" spans="1:10">
      <c r="A273" s="245"/>
      <c r="D273" s="245"/>
      <c r="F273" s="389"/>
      <c r="G273" s="244"/>
      <c r="H273" s="244"/>
      <c r="I273" s="244"/>
      <c r="J273" s="244"/>
    </row>
    <row r="274" spans="1:10">
      <c r="A274" s="245"/>
      <c r="D274" s="245"/>
      <c r="F274" s="389"/>
      <c r="G274" s="244"/>
      <c r="H274" s="244"/>
      <c r="I274" s="244"/>
      <c r="J274" s="244"/>
    </row>
    <row r="275" spans="1:10">
      <c r="A275" s="245"/>
      <c r="D275" s="245"/>
      <c r="F275" s="389"/>
      <c r="G275" s="244"/>
      <c r="H275" s="244"/>
      <c r="I275" s="244"/>
      <c r="J275" s="244"/>
    </row>
    <row r="276" spans="1:10">
      <c r="A276" s="245"/>
      <c r="D276" s="245"/>
      <c r="F276" s="389"/>
      <c r="G276" s="244"/>
      <c r="H276" s="244"/>
      <c r="I276" s="244"/>
      <c r="J276" s="244"/>
    </row>
    <row r="277" spans="1:10">
      <c r="A277" s="245"/>
      <c r="D277" s="245"/>
      <c r="F277" s="389"/>
      <c r="G277" s="244"/>
      <c r="H277" s="244"/>
      <c r="I277" s="244"/>
      <c r="J277" s="244"/>
    </row>
    <row r="278" spans="1:10">
      <c r="A278" s="245"/>
      <c r="D278" s="245"/>
      <c r="F278" s="389"/>
      <c r="G278" s="244"/>
      <c r="H278" s="244"/>
      <c r="I278" s="244"/>
      <c r="J278" s="244"/>
    </row>
    <row r="279" spans="1:10">
      <c r="A279" s="245"/>
      <c r="D279" s="245"/>
      <c r="F279" s="389"/>
      <c r="G279" s="244"/>
      <c r="H279" s="244"/>
      <c r="I279" s="244"/>
      <c r="J279" s="244"/>
    </row>
    <row r="280" spans="1:10">
      <c r="A280" s="245"/>
      <c r="D280" s="245"/>
      <c r="F280" s="389"/>
      <c r="G280" s="244"/>
      <c r="H280" s="244"/>
      <c r="I280" s="244"/>
      <c r="J280" s="244"/>
    </row>
    <row r="281" spans="1:10">
      <c r="A281" s="245"/>
      <c r="D281" s="245"/>
      <c r="F281" s="389"/>
      <c r="G281" s="244"/>
      <c r="H281" s="244"/>
      <c r="I281" s="244"/>
      <c r="J281" s="244"/>
    </row>
    <row r="282" spans="1:10">
      <c r="A282" s="245"/>
      <c r="D282" s="245"/>
      <c r="F282" s="389"/>
      <c r="G282" s="244"/>
      <c r="H282" s="244"/>
      <c r="I282" s="244"/>
      <c r="J282" s="244"/>
    </row>
    <row r="283" spans="1:10">
      <c r="A283" s="245"/>
      <c r="D283" s="245"/>
      <c r="F283" s="389"/>
      <c r="G283" s="244"/>
      <c r="H283" s="244"/>
      <c r="I283" s="244"/>
      <c r="J283" s="244"/>
    </row>
    <row r="284" spans="1:10">
      <c r="A284" s="245"/>
      <c r="D284" s="245"/>
      <c r="F284" s="389"/>
      <c r="G284" s="244"/>
      <c r="H284" s="244"/>
      <c r="I284" s="244"/>
      <c r="J284" s="244"/>
    </row>
    <row r="285" spans="1:10">
      <c r="A285" s="245"/>
      <c r="D285" s="245"/>
      <c r="F285" s="389"/>
      <c r="G285" s="244"/>
      <c r="H285" s="244"/>
      <c r="I285" s="244"/>
      <c r="J285" s="244"/>
    </row>
    <row r="286" spans="1:10">
      <c r="A286" s="245"/>
      <c r="D286" s="245"/>
      <c r="F286" s="389"/>
      <c r="G286" s="244"/>
      <c r="H286" s="244"/>
      <c r="I286" s="244"/>
      <c r="J286" s="244"/>
    </row>
    <row r="287" spans="1:10">
      <c r="A287" s="245"/>
      <c r="D287" s="245"/>
      <c r="F287" s="389"/>
      <c r="G287" s="244"/>
      <c r="H287" s="244"/>
      <c r="I287" s="244"/>
      <c r="J287" s="244"/>
    </row>
    <row r="288" spans="1:10">
      <c r="A288" s="245"/>
      <c r="D288" s="245"/>
      <c r="F288" s="389"/>
      <c r="G288" s="244"/>
      <c r="H288" s="244"/>
      <c r="I288" s="244"/>
      <c r="J288" s="244"/>
    </row>
    <row r="289" spans="1:10">
      <c r="A289" s="245"/>
      <c r="D289" s="245"/>
      <c r="F289" s="389"/>
      <c r="G289" s="244"/>
      <c r="H289" s="244"/>
      <c r="I289" s="244"/>
      <c r="J289" s="244"/>
    </row>
    <row r="290" spans="1:10">
      <c r="A290" s="245"/>
      <c r="D290" s="245"/>
      <c r="F290" s="389"/>
      <c r="G290" s="244"/>
      <c r="H290" s="244"/>
      <c r="I290" s="244"/>
      <c r="J290" s="244"/>
    </row>
    <row r="291" spans="1:10">
      <c r="A291" s="245"/>
      <c r="D291" s="245"/>
      <c r="F291" s="389"/>
      <c r="G291" s="244"/>
      <c r="H291" s="244"/>
      <c r="I291" s="244"/>
      <c r="J291" s="244"/>
    </row>
    <row r="292" spans="1:10">
      <c r="A292" s="245"/>
      <c r="D292" s="245"/>
      <c r="F292" s="389"/>
      <c r="G292" s="244"/>
      <c r="H292" s="244"/>
      <c r="I292" s="244"/>
      <c r="J292" s="244"/>
    </row>
    <row r="293" spans="1:10">
      <c r="A293" s="245"/>
      <c r="D293" s="245"/>
      <c r="F293" s="389"/>
      <c r="G293" s="244"/>
      <c r="H293" s="244"/>
      <c r="I293" s="244"/>
      <c r="J293" s="244"/>
    </row>
    <row r="294" spans="1:10">
      <c r="A294" s="245"/>
      <c r="D294" s="245"/>
      <c r="F294" s="389"/>
      <c r="G294" s="244"/>
      <c r="H294" s="244"/>
      <c r="I294" s="244"/>
      <c r="J294" s="244"/>
    </row>
    <row r="295" spans="1:10">
      <c r="A295" s="245"/>
      <c r="D295" s="245"/>
      <c r="F295" s="389"/>
      <c r="G295" s="244"/>
      <c r="H295" s="244"/>
      <c r="I295" s="244"/>
      <c r="J295" s="244"/>
    </row>
    <row r="296" spans="1:10">
      <c r="A296" s="245"/>
      <c r="D296" s="245"/>
      <c r="F296" s="389"/>
      <c r="G296" s="244"/>
      <c r="H296" s="244"/>
      <c r="I296" s="244"/>
      <c r="J296" s="244"/>
    </row>
    <row r="297" spans="1:10">
      <c r="A297" s="245"/>
      <c r="D297" s="245"/>
      <c r="F297" s="389"/>
      <c r="G297" s="244"/>
      <c r="H297" s="244"/>
      <c r="I297" s="244"/>
      <c r="J297" s="244"/>
    </row>
    <row r="298" spans="1:10">
      <c r="A298" s="245"/>
      <c r="D298" s="245"/>
      <c r="F298" s="389"/>
      <c r="G298" s="244"/>
      <c r="H298" s="244"/>
      <c r="I298" s="244"/>
      <c r="J298" s="244"/>
    </row>
    <row r="299" spans="1:10">
      <c r="A299" s="245"/>
      <c r="D299" s="245"/>
      <c r="F299" s="389"/>
      <c r="G299" s="244"/>
      <c r="H299" s="244"/>
      <c r="I299" s="244"/>
      <c r="J299" s="244"/>
    </row>
    <row r="300" spans="1:10">
      <c r="A300" s="245"/>
      <c r="D300" s="245"/>
      <c r="F300" s="389"/>
      <c r="G300" s="244"/>
      <c r="H300" s="244"/>
      <c r="I300" s="244"/>
      <c r="J300" s="244"/>
    </row>
    <row r="301" spans="1:10">
      <c r="A301" s="245"/>
      <c r="D301" s="245"/>
      <c r="F301" s="389"/>
      <c r="G301" s="244"/>
      <c r="H301" s="244"/>
      <c r="I301" s="244"/>
      <c r="J301" s="244"/>
    </row>
    <row r="302" spans="1:10">
      <c r="A302" s="245"/>
      <c r="D302" s="245"/>
      <c r="F302" s="389"/>
      <c r="G302" s="244"/>
      <c r="H302" s="244"/>
      <c r="I302" s="244"/>
      <c r="J302" s="244"/>
    </row>
    <row r="303" spans="1:10">
      <c r="A303" s="245"/>
      <c r="D303" s="245"/>
      <c r="F303" s="389"/>
      <c r="G303" s="244"/>
      <c r="H303" s="244"/>
      <c r="I303" s="244"/>
      <c r="J303" s="244"/>
    </row>
    <row r="304" spans="1:10">
      <c r="A304" s="245"/>
      <c r="D304" s="245"/>
      <c r="F304" s="389"/>
      <c r="G304" s="244"/>
      <c r="H304" s="244"/>
      <c r="I304" s="244"/>
      <c r="J304" s="244"/>
    </row>
    <row r="305" spans="1:10">
      <c r="A305" s="245"/>
      <c r="D305" s="245"/>
      <c r="F305" s="389"/>
      <c r="G305" s="244"/>
      <c r="H305" s="244"/>
      <c r="I305" s="244"/>
      <c r="J305" s="244"/>
    </row>
    <row r="306" spans="1:10">
      <c r="A306" s="245"/>
      <c r="D306" s="245"/>
      <c r="F306" s="389"/>
      <c r="G306" s="244"/>
      <c r="H306" s="244"/>
      <c r="I306" s="244"/>
      <c r="J306" s="244"/>
    </row>
    <row r="307" spans="1:10">
      <c r="A307" s="245"/>
      <c r="D307" s="245"/>
      <c r="F307" s="389"/>
      <c r="G307" s="244"/>
      <c r="H307" s="244"/>
      <c r="I307" s="244"/>
      <c r="J307" s="244"/>
    </row>
    <row r="308" spans="1:10">
      <c r="A308" s="245"/>
      <c r="D308" s="245"/>
      <c r="F308" s="389"/>
      <c r="G308" s="244"/>
      <c r="H308" s="244"/>
      <c r="I308" s="244"/>
      <c r="J308" s="244"/>
    </row>
    <row r="309" spans="1:10">
      <c r="A309" s="245"/>
      <c r="D309" s="245"/>
      <c r="F309" s="389"/>
      <c r="G309" s="244"/>
      <c r="H309" s="244"/>
      <c r="I309" s="244"/>
      <c r="J309" s="244"/>
    </row>
    <row r="310" spans="1:10">
      <c r="A310" s="245"/>
      <c r="D310" s="245"/>
      <c r="F310" s="389"/>
      <c r="G310" s="244"/>
      <c r="H310" s="244"/>
      <c r="I310" s="244"/>
      <c r="J310" s="244"/>
    </row>
    <row r="311" spans="1:10">
      <c r="A311" s="245"/>
      <c r="D311" s="245"/>
      <c r="F311" s="389"/>
      <c r="G311" s="244"/>
      <c r="H311" s="244"/>
      <c r="I311" s="244"/>
      <c r="J311" s="244"/>
    </row>
    <row r="312" spans="1:10">
      <c r="A312" s="245"/>
      <c r="D312" s="245"/>
      <c r="F312" s="389"/>
      <c r="G312" s="244"/>
      <c r="H312" s="244"/>
      <c r="I312" s="244"/>
      <c r="J312" s="244"/>
    </row>
    <row r="313" spans="1:10">
      <c r="A313" s="245"/>
      <c r="D313" s="245"/>
      <c r="F313" s="389"/>
      <c r="G313" s="244"/>
      <c r="H313" s="244"/>
      <c r="I313" s="244"/>
      <c r="J313" s="244"/>
    </row>
    <row r="314" spans="1:10">
      <c r="A314" s="245"/>
      <c r="D314" s="245"/>
      <c r="F314" s="389"/>
      <c r="G314" s="244"/>
      <c r="H314" s="244"/>
      <c r="I314" s="244"/>
      <c r="J314" s="244"/>
    </row>
    <row r="315" spans="1:10">
      <c r="A315" s="245"/>
      <c r="D315" s="245"/>
      <c r="F315" s="389"/>
      <c r="G315" s="244"/>
      <c r="H315" s="244"/>
      <c r="I315" s="244"/>
      <c r="J315" s="244"/>
    </row>
    <row r="316" spans="1:10">
      <c r="A316" s="245"/>
      <c r="D316" s="245"/>
      <c r="F316" s="389"/>
      <c r="G316" s="244"/>
      <c r="H316" s="244"/>
      <c r="I316" s="244"/>
      <c r="J316" s="244"/>
    </row>
    <row r="317" spans="1:10">
      <c r="A317" s="245"/>
      <c r="D317" s="245"/>
      <c r="F317" s="389"/>
      <c r="G317" s="244"/>
      <c r="H317" s="244"/>
      <c r="I317" s="244"/>
      <c r="J317" s="244"/>
    </row>
    <row r="318" spans="1:10">
      <c r="A318" s="245"/>
      <c r="D318" s="245"/>
      <c r="F318" s="389"/>
      <c r="G318" s="244"/>
      <c r="H318" s="244"/>
      <c r="I318" s="244"/>
      <c r="J318" s="244"/>
    </row>
    <row r="319" spans="1:10">
      <c r="A319" s="245"/>
      <c r="D319" s="245"/>
      <c r="F319" s="389"/>
      <c r="G319" s="244"/>
      <c r="H319" s="244"/>
      <c r="I319" s="244"/>
      <c r="J319" s="244"/>
    </row>
    <row r="320" spans="1:10">
      <c r="A320" s="245"/>
      <c r="D320" s="245"/>
      <c r="F320" s="389"/>
      <c r="G320" s="244"/>
      <c r="H320" s="244"/>
      <c r="I320" s="244"/>
      <c r="J320" s="244"/>
    </row>
    <row r="321" spans="1:10">
      <c r="A321" s="245"/>
      <c r="D321" s="245"/>
      <c r="F321" s="389"/>
      <c r="G321" s="244"/>
      <c r="H321" s="244"/>
      <c r="I321" s="244"/>
      <c r="J321" s="244"/>
    </row>
    <row r="322" spans="1:10">
      <c r="A322" s="245"/>
      <c r="D322" s="245"/>
      <c r="F322" s="389"/>
      <c r="G322" s="244"/>
      <c r="H322" s="244"/>
      <c r="I322" s="244"/>
      <c r="J322" s="244"/>
    </row>
    <row r="323" spans="1:10">
      <c r="A323" s="245"/>
      <c r="D323" s="245"/>
      <c r="F323" s="389"/>
      <c r="G323" s="244"/>
      <c r="H323" s="244"/>
      <c r="I323" s="244"/>
      <c r="J323" s="244"/>
    </row>
    <row r="324" spans="1:10">
      <c r="A324" s="245"/>
      <c r="D324" s="245"/>
      <c r="F324" s="389"/>
      <c r="G324" s="244"/>
      <c r="H324" s="244"/>
      <c r="I324" s="244"/>
      <c r="J324" s="244"/>
    </row>
    <row r="325" spans="1:10">
      <c r="A325" s="245"/>
      <c r="D325" s="245"/>
      <c r="F325" s="389"/>
      <c r="G325" s="244"/>
      <c r="H325" s="244"/>
      <c r="I325" s="244"/>
      <c r="J325" s="244"/>
    </row>
    <row r="326" spans="1:10">
      <c r="A326" s="245"/>
      <c r="D326" s="245"/>
      <c r="F326" s="389"/>
      <c r="G326" s="244"/>
      <c r="H326" s="244"/>
      <c r="I326" s="244"/>
      <c r="J326" s="244"/>
    </row>
    <row r="327" spans="1:10">
      <c r="A327" s="245"/>
      <c r="D327" s="245"/>
      <c r="F327" s="389"/>
      <c r="G327" s="244"/>
      <c r="H327" s="244"/>
      <c r="I327" s="244"/>
      <c r="J327" s="244"/>
    </row>
    <row r="328" spans="1:10">
      <c r="A328" s="245"/>
      <c r="D328" s="245"/>
      <c r="F328" s="389"/>
      <c r="G328" s="244"/>
      <c r="H328" s="244"/>
      <c r="I328" s="244"/>
      <c r="J328" s="244"/>
    </row>
    <row r="329" spans="1:10">
      <c r="A329" s="245"/>
      <c r="D329" s="245"/>
      <c r="F329" s="389"/>
      <c r="G329" s="244"/>
      <c r="H329" s="244"/>
      <c r="I329" s="244"/>
      <c r="J329" s="244"/>
    </row>
    <row r="330" spans="1:10">
      <c r="A330" s="245"/>
      <c r="D330" s="245"/>
      <c r="F330" s="389"/>
      <c r="G330" s="244"/>
      <c r="H330" s="244"/>
      <c r="I330" s="244"/>
      <c r="J330" s="244"/>
    </row>
    <row r="331" spans="1:10">
      <c r="A331" s="245"/>
      <c r="D331" s="245"/>
      <c r="F331" s="389"/>
      <c r="G331" s="244"/>
      <c r="H331" s="244"/>
      <c r="I331" s="244"/>
      <c r="J331" s="244"/>
    </row>
    <row r="332" spans="1:10">
      <c r="A332" s="245"/>
      <c r="D332" s="245"/>
      <c r="F332" s="389"/>
      <c r="G332" s="244"/>
      <c r="H332" s="244"/>
      <c r="I332" s="244"/>
      <c r="J332" s="244"/>
    </row>
    <row r="333" spans="1:10">
      <c r="A333" s="245"/>
      <c r="D333" s="245"/>
      <c r="F333" s="389"/>
      <c r="G333" s="244"/>
      <c r="H333" s="244"/>
      <c r="I333" s="244"/>
      <c r="J333" s="244"/>
    </row>
    <row r="334" spans="1:10">
      <c r="A334" s="245"/>
      <c r="D334" s="245"/>
      <c r="F334" s="389"/>
      <c r="G334" s="244"/>
      <c r="H334" s="244"/>
      <c r="I334" s="244"/>
      <c r="J334" s="244"/>
    </row>
    <row r="335" spans="1:10">
      <c r="A335" s="245"/>
      <c r="D335" s="245"/>
      <c r="F335" s="389"/>
      <c r="G335" s="244"/>
      <c r="H335" s="244"/>
      <c r="I335" s="244"/>
      <c r="J335" s="244"/>
    </row>
    <row r="336" spans="1:10">
      <c r="A336" s="245"/>
      <c r="D336" s="245"/>
      <c r="F336" s="389"/>
      <c r="G336" s="244"/>
      <c r="H336" s="244"/>
      <c r="I336" s="244"/>
      <c r="J336" s="244"/>
    </row>
    <row r="337" spans="1:10">
      <c r="A337" s="245"/>
      <c r="D337" s="245"/>
      <c r="F337" s="389"/>
      <c r="G337" s="244"/>
      <c r="H337" s="244"/>
      <c r="I337" s="244"/>
      <c r="J337" s="244"/>
    </row>
    <row r="338" spans="1:10">
      <c r="A338" s="245"/>
      <c r="D338" s="245"/>
      <c r="F338" s="389"/>
      <c r="G338" s="244"/>
      <c r="H338" s="244"/>
      <c r="I338" s="244"/>
      <c r="J338" s="244"/>
    </row>
    <row r="339" spans="1:10">
      <c r="A339" s="245"/>
      <c r="D339" s="245"/>
      <c r="F339" s="389"/>
      <c r="G339" s="244"/>
      <c r="H339" s="244"/>
      <c r="I339" s="244"/>
      <c r="J339" s="244"/>
    </row>
    <row r="340" spans="1:10">
      <c r="A340" s="245"/>
      <c r="D340" s="245"/>
      <c r="F340" s="389"/>
      <c r="G340" s="244"/>
      <c r="H340" s="244"/>
      <c r="I340" s="244"/>
      <c r="J340" s="244"/>
    </row>
    <row r="341" spans="1:10">
      <c r="A341" s="245"/>
      <c r="D341" s="245"/>
      <c r="F341" s="389"/>
      <c r="G341" s="244"/>
      <c r="H341" s="244"/>
      <c r="I341" s="244"/>
      <c r="J341" s="244"/>
    </row>
    <row r="342" spans="1:10">
      <c r="A342" s="245"/>
      <c r="D342" s="245"/>
      <c r="F342" s="389"/>
      <c r="G342" s="244"/>
      <c r="H342" s="244"/>
      <c r="I342" s="244"/>
      <c r="J342" s="244"/>
    </row>
    <row r="343" spans="1:10">
      <c r="A343" s="245"/>
      <c r="D343" s="245"/>
      <c r="F343" s="389"/>
      <c r="G343" s="244"/>
      <c r="H343" s="244"/>
      <c r="I343" s="244"/>
      <c r="J343" s="244"/>
    </row>
    <row r="344" spans="1:10">
      <c r="A344" s="245"/>
      <c r="D344" s="245"/>
      <c r="F344" s="389"/>
      <c r="G344" s="244"/>
      <c r="H344" s="244"/>
      <c r="I344" s="244"/>
      <c r="J344" s="244"/>
    </row>
    <row r="345" spans="1:10">
      <c r="A345" s="245"/>
      <c r="D345" s="245"/>
      <c r="F345" s="389"/>
      <c r="G345" s="244"/>
      <c r="H345" s="244"/>
      <c r="I345" s="244"/>
      <c r="J345" s="244"/>
    </row>
    <row r="346" spans="1:10">
      <c r="A346" s="245"/>
      <c r="D346" s="245"/>
      <c r="F346" s="389"/>
      <c r="G346" s="244"/>
      <c r="H346" s="244"/>
      <c r="I346" s="244"/>
      <c r="J346" s="244"/>
    </row>
    <row r="347" spans="1:10">
      <c r="A347" s="245"/>
      <c r="D347" s="245"/>
      <c r="F347" s="389"/>
      <c r="G347" s="244"/>
      <c r="H347" s="244"/>
      <c r="I347" s="244"/>
      <c r="J347" s="244"/>
    </row>
    <row r="348" spans="1:10">
      <c r="A348" s="245"/>
      <c r="D348" s="245"/>
      <c r="F348" s="389"/>
      <c r="G348" s="244"/>
      <c r="H348" s="244"/>
      <c r="I348" s="244"/>
      <c r="J348" s="244"/>
    </row>
    <row r="349" spans="1:10">
      <c r="A349" s="245"/>
      <c r="D349" s="245"/>
      <c r="F349" s="389"/>
      <c r="G349" s="244"/>
      <c r="H349" s="244"/>
      <c r="I349" s="244"/>
      <c r="J349" s="244"/>
    </row>
    <row r="350" spans="1:10">
      <c r="A350" s="245"/>
      <c r="D350" s="245"/>
      <c r="F350" s="389"/>
      <c r="G350" s="244"/>
      <c r="H350" s="244"/>
      <c r="I350" s="244"/>
      <c r="J350" s="244"/>
    </row>
    <row r="351" spans="1:10">
      <c r="A351" s="245"/>
      <c r="D351" s="245"/>
      <c r="F351" s="389"/>
      <c r="G351" s="244"/>
      <c r="H351" s="244"/>
      <c r="I351" s="244"/>
      <c r="J351" s="244"/>
    </row>
    <row r="352" spans="1:10">
      <c r="A352" s="245"/>
      <c r="D352" s="245"/>
      <c r="F352" s="389"/>
      <c r="G352" s="244"/>
      <c r="H352" s="244"/>
      <c r="I352" s="244"/>
      <c r="J352" s="244"/>
    </row>
    <row r="353" spans="1:10">
      <c r="A353" s="245"/>
      <c r="D353" s="245"/>
      <c r="F353" s="389"/>
      <c r="G353" s="244"/>
      <c r="H353" s="244"/>
      <c r="I353" s="244"/>
      <c r="J353" s="244"/>
    </row>
    <row r="354" spans="1:10">
      <c r="A354" s="245"/>
      <c r="D354" s="245"/>
      <c r="F354" s="389"/>
      <c r="G354" s="244"/>
      <c r="H354" s="244"/>
      <c r="I354" s="244"/>
      <c r="J354" s="244"/>
    </row>
    <row r="355" spans="1:10">
      <c r="A355" s="245"/>
      <c r="D355" s="245"/>
      <c r="F355" s="389"/>
      <c r="G355" s="244"/>
      <c r="H355" s="244"/>
      <c r="I355" s="244"/>
      <c r="J355" s="244"/>
    </row>
    <row r="356" spans="1:10">
      <c r="A356" s="245"/>
      <c r="D356" s="245"/>
      <c r="F356" s="389"/>
      <c r="G356" s="244"/>
      <c r="H356" s="244"/>
      <c r="I356" s="244"/>
      <c r="J356" s="244"/>
    </row>
    <row r="357" spans="1:10">
      <c r="A357" s="245"/>
      <c r="D357" s="245"/>
      <c r="F357" s="389"/>
      <c r="G357" s="244"/>
      <c r="H357" s="244"/>
      <c r="I357" s="244"/>
      <c r="J357" s="244"/>
    </row>
    <row r="358" spans="1:10">
      <c r="A358" s="245"/>
      <c r="D358" s="245"/>
      <c r="F358" s="389"/>
      <c r="G358" s="244"/>
      <c r="H358" s="244"/>
      <c r="I358" s="244"/>
      <c r="J358" s="244"/>
    </row>
    <row r="359" spans="1:10">
      <c r="A359" s="245"/>
      <c r="D359" s="245"/>
      <c r="F359" s="389"/>
      <c r="G359" s="244"/>
      <c r="H359" s="244"/>
      <c r="I359" s="244"/>
      <c r="J359" s="244"/>
    </row>
    <row r="360" spans="1:10">
      <c r="A360" s="245"/>
      <c r="D360" s="245"/>
      <c r="F360" s="389"/>
      <c r="G360" s="244"/>
      <c r="H360" s="244"/>
      <c r="I360" s="244"/>
      <c r="J360" s="244"/>
    </row>
    <row r="361" spans="1:10">
      <c r="A361" s="245"/>
      <c r="D361" s="245"/>
      <c r="F361" s="389"/>
      <c r="G361" s="244"/>
      <c r="H361" s="244"/>
      <c r="I361" s="244"/>
      <c r="J361" s="244"/>
    </row>
    <row r="362" spans="1:10">
      <c r="A362" s="245"/>
      <c r="D362" s="245"/>
      <c r="F362" s="389"/>
      <c r="G362" s="244"/>
      <c r="H362" s="244"/>
      <c r="I362" s="244"/>
      <c r="J362" s="244"/>
    </row>
    <row r="363" spans="1:10">
      <c r="A363" s="245"/>
      <c r="D363" s="245"/>
      <c r="F363" s="389"/>
      <c r="G363" s="244"/>
      <c r="H363" s="244"/>
      <c r="I363" s="244"/>
      <c r="J363" s="244"/>
    </row>
    <row r="364" spans="1:10">
      <c r="A364" s="245"/>
      <c r="D364" s="245"/>
      <c r="F364" s="389"/>
      <c r="G364" s="244"/>
      <c r="H364" s="244"/>
      <c r="I364" s="244"/>
      <c r="J364" s="244"/>
    </row>
    <row r="365" spans="1:10">
      <c r="A365" s="245"/>
      <c r="D365" s="245"/>
      <c r="F365" s="389"/>
      <c r="G365" s="244"/>
      <c r="H365" s="244"/>
      <c r="I365" s="244"/>
      <c r="J365" s="244"/>
    </row>
    <row r="366" spans="1:10">
      <c r="A366" s="245"/>
      <c r="D366" s="245"/>
      <c r="F366" s="389"/>
      <c r="G366" s="244"/>
      <c r="H366" s="244"/>
      <c r="I366" s="244"/>
      <c r="J366" s="244"/>
    </row>
    <row r="367" spans="1:10">
      <c r="A367" s="245"/>
      <c r="D367" s="245"/>
      <c r="F367" s="389"/>
      <c r="G367" s="244"/>
      <c r="H367" s="244"/>
      <c r="I367" s="244"/>
      <c r="J367" s="244"/>
    </row>
    <row r="368" spans="1:10">
      <c r="A368" s="245"/>
      <c r="D368" s="245"/>
      <c r="F368" s="389"/>
      <c r="G368" s="244"/>
      <c r="H368" s="244"/>
      <c r="I368" s="244"/>
      <c r="J368" s="244"/>
    </row>
    <row r="369" spans="1:10">
      <c r="A369" s="245"/>
      <c r="D369" s="245"/>
      <c r="F369" s="389"/>
      <c r="G369" s="244"/>
      <c r="H369" s="244"/>
      <c r="I369" s="244"/>
      <c r="J369" s="244"/>
    </row>
    <row r="370" spans="1:10">
      <c r="A370" s="245"/>
      <c r="D370" s="245"/>
      <c r="F370" s="389"/>
      <c r="G370" s="244"/>
      <c r="H370" s="244"/>
      <c r="I370" s="244"/>
      <c r="J370" s="244"/>
    </row>
    <row r="371" spans="1:10">
      <c r="A371" s="245"/>
      <c r="D371" s="245"/>
      <c r="F371" s="389"/>
      <c r="G371" s="244"/>
      <c r="H371" s="244"/>
      <c r="I371" s="244"/>
      <c r="J371" s="244"/>
    </row>
    <row r="372" spans="1:10">
      <c r="A372" s="245"/>
      <c r="D372" s="245"/>
      <c r="F372" s="389"/>
      <c r="G372" s="244"/>
      <c r="H372" s="244"/>
      <c r="I372" s="244"/>
      <c r="J372" s="244"/>
    </row>
    <row r="373" spans="1:10">
      <c r="A373" s="245"/>
      <c r="D373" s="245"/>
      <c r="F373" s="389"/>
      <c r="G373" s="244"/>
      <c r="H373" s="244"/>
      <c r="I373" s="244"/>
      <c r="J373" s="244"/>
    </row>
    <row r="374" spans="1:10">
      <c r="A374" s="245"/>
      <c r="D374" s="245"/>
      <c r="F374" s="389"/>
      <c r="G374" s="244"/>
      <c r="H374" s="244"/>
      <c r="I374" s="244"/>
      <c r="J374" s="244"/>
    </row>
    <row r="375" spans="1:10">
      <c r="A375" s="245"/>
      <c r="D375" s="245"/>
      <c r="F375" s="389"/>
      <c r="G375" s="244"/>
      <c r="H375" s="244"/>
      <c r="I375" s="244"/>
      <c r="J375" s="244"/>
    </row>
    <row r="376" spans="1:10">
      <c r="A376" s="245"/>
      <c r="D376" s="245"/>
      <c r="F376" s="389"/>
      <c r="G376" s="244"/>
      <c r="H376" s="244"/>
      <c r="I376" s="244"/>
      <c r="J376" s="244"/>
    </row>
    <row r="377" spans="1:10">
      <c r="A377" s="245"/>
      <c r="D377" s="245"/>
      <c r="F377" s="389"/>
      <c r="G377" s="244"/>
      <c r="H377" s="244"/>
      <c r="I377" s="244"/>
      <c r="J377" s="244"/>
    </row>
    <row r="378" spans="1:10">
      <c r="A378" s="245"/>
      <c r="D378" s="245"/>
      <c r="F378" s="389"/>
      <c r="G378" s="244"/>
      <c r="H378" s="244"/>
      <c r="I378" s="244"/>
      <c r="J378" s="244"/>
    </row>
    <row r="379" spans="1:10">
      <c r="A379" s="245"/>
      <c r="D379" s="245"/>
      <c r="F379" s="389"/>
      <c r="G379" s="244"/>
      <c r="H379" s="244"/>
      <c r="I379" s="244"/>
      <c r="J379" s="244"/>
    </row>
    <row r="380" spans="1:10">
      <c r="A380" s="245"/>
      <c r="D380" s="245"/>
      <c r="F380" s="389"/>
      <c r="G380" s="244"/>
      <c r="H380" s="244"/>
      <c r="I380" s="244"/>
      <c r="J380" s="244"/>
    </row>
    <row r="381" spans="1:10">
      <c r="A381" s="245"/>
      <c r="D381" s="245"/>
      <c r="F381" s="389"/>
      <c r="G381" s="244"/>
      <c r="H381" s="244"/>
      <c r="I381" s="244"/>
      <c r="J381" s="244"/>
    </row>
    <row r="382" spans="1:10">
      <c r="A382" s="245"/>
      <c r="D382" s="245"/>
      <c r="F382" s="389"/>
      <c r="G382" s="244"/>
      <c r="H382" s="244"/>
      <c r="I382" s="244"/>
      <c r="J382" s="244"/>
    </row>
    <row r="383" spans="1:10">
      <c r="A383" s="245"/>
      <c r="D383" s="245"/>
      <c r="F383" s="389"/>
      <c r="G383" s="244"/>
      <c r="H383" s="244"/>
      <c r="I383" s="244"/>
      <c r="J383" s="244"/>
    </row>
    <row r="384" spans="1:10">
      <c r="A384" s="245"/>
      <c r="D384" s="245"/>
      <c r="F384" s="389"/>
      <c r="G384" s="244"/>
      <c r="H384" s="244"/>
      <c r="I384" s="244"/>
      <c r="J384" s="244"/>
    </row>
    <row r="385" spans="1:10">
      <c r="A385" s="245"/>
      <c r="D385" s="245"/>
      <c r="F385" s="389"/>
      <c r="G385" s="244"/>
      <c r="H385" s="244"/>
      <c r="I385" s="244"/>
      <c r="J385" s="244"/>
    </row>
    <row r="386" spans="1:10">
      <c r="A386" s="245"/>
      <c r="D386" s="245"/>
      <c r="F386" s="389"/>
      <c r="G386" s="244"/>
      <c r="H386" s="244"/>
      <c r="I386" s="244"/>
      <c r="J386" s="244"/>
    </row>
    <row r="387" spans="1:10">
      <c r="A387" s="245"/>
      <c r="D387" s="245"/>
      <c r="F387" s="389"/>
      <c r="G387" s="244"/>
      <c r="H387" s="244"/>
      <c r="I387" s="244"/>
      <c r="J387" s="244"/>
    </row>
    <row r="388" spans="1:10">
      <c r="A388" s="245"/>
      <c r="D388" s="245"/>
      <c r="F388" s="389"/>
      <c r="G388" s="244"/>
      <c r="H388" s="244"/>
      <c r="I388" s="244"/>
      <c r="J388" s="244"/>
    </row>
    <row r="389" spans="1:10">
      <c r="A389" s="245"/>
      <c r="D389" s="245"/>
      <c r="F389" s="389"/>
      <c r="G389" s="244"/>
      <c r="H389" s="244"/>
      <c r="I389" s="244"/>
      <c r="J389" s="244"/>
    </row>
    <row r="390" spans="1:10">
      <c r="A390" s="245"/>
      <c r="D390" s="245"/>
      <c r="F390" s="389"/>
      <c r="G390" s="244"/>
      <c r="H390" s="244"/>
      <c r="I390" s="244"/>
      <c r="J390" s="244"/>
    </row>
    <row r="391" spans="1:10">
      <c r="A391" s="245"/>
      <c r="D391" s="245"/>
      <c r="F391" s="389"/>
      <c r="G391" s="244"/>
      <c r="H391" s="244"/>
      <c r="I391" s="244"/>
      <c r="J391" s="244"/>
    </row>
    <row r="392" spans="1:10">
      <c r="A392" s="245"/>
      <c r="D392" s="245"/>
      <c r="F392" s="389"/>
      <c r="G392" s="244"/>
      <c r="H392" s="244"/>
      <c r="I392" s="244"/>
      <c r="J392" s="244"/>
    </row>
    <row r="393" spans="1:10">
      <c r="A393" s="245"/>
      <c r="D393" s="245"/>
      <c r="F393" s="389"/>
      <c r="G393" s="244"/>
      <c r="H393" s="244"/>
      <c r="I393" s="244"/>
      <c r="J393" s="244"/>
    </row>
    <row r="394" spans="1:10">
      <c r="A394" s="245"/>
      <c r="D394" s="245"/>
      <c r="F394" s="389"/>
      <c r="G394" s="244"/>
      <c r="H394" s="244"/>
      <c r="I394" s="244"/>
      <c r="J394" s="244"/>
    </row>
    <row r="395" spans="1:10">
      <c r="A395" s="245"/>
      <c r="D395" s="245"/>
      <c r="F395" s="389"/>
      <c r="G395" s="244"/>
      <c r="H395" s="244"/>
      <c r="I395" s="244"/>
      <c r="J395" s="244"/>
    </row>
    <row r="396" spans="1:10">
      <c r="A396" s="245"/>
      <c r="D396" s="245"/>
      <c r="F396" s="389"/>
      <c r="G396" s="244"/>
      <c r="H396" s="244"/>
      <c r="I396" s="244"/>
      <c r="J396" s="244"/>
    </row>
    <row r="397" spans="1:10">
      <c r="A397" s="245"/>
      <c r="D397" s="245"/>
      <c r="F397" s="389"/>
      <c r="G397" s="244"/>
      <c r="H397" s="244"/>
      <c r="I397" s="244"/>
      <c r="J397" s="244"/>
    </row>
    <row r="398" spans="1:10">
      <c r="A398" s="245"/>
      <c r="D398" s="245"/>
      <c r="F398" s="389"/>
      <c r="G398" s="244"/>
      <c r="H398" s="244"/>
      <c r="I398" s="244"/>
      <c r="J398" s="244"/>
    </row>
    <row r="399" spans="1:10">
      <c r="A399" s="245"/>
      <c r="D399" s="245"/>
      <c r="F399" s="389"/>
      <c r="G399" s="244"/>
      <c r="H399" s="244"/>
      <c r="I399" s="244"/>
      <c r="J399" s="244"/>
    </row>
    <row r="400" spans="1:10">
      <c r="A400" s="245"/>
      <c r="D400" s="245"/>
      <c r="F400" s="389"/>
      <c r="G400" s="244"/>
      <c r="H400" s="244"/>
      <c r="I400" s="244"/>
      <c r="J400" s="244"/>
    </row>
    <row r="401" spans="1:10">
      <c r="A401" s="245"/>
      <c r="D401" s="245"/>
      <c r="F401" s="389"/>
      <c r="G401" s="244"/>
      <c r="H401" s="244"/>
      <c r="I401" s="244"/>
      <c r="J401" s="244"/>
    </row>
    <row r="402" spans="1:10">
      <c r="A402" s="245"/>
      <c r="D402" s="245"/>
      <c r="F402" s="389"/>
      <c r="G402" s="244"/>
      <c r="H402" s="244"/>
      <c r="I402" s="244"/>
      <c r="J402" s="244"/>
    </row>
    <row r="403" spans="1:10">
      <c r="A403" s="245"/>
      <c r="D403" s="245"/>
      <c r="F403" s="389"/>
      <c r="G403" s="244"/>
      <c r="H403" s="244"/>
      <c r="I403" s="244"/>
      <c r="J403" s="244"/>
    </row>
    <row r="404" spans="1:10">
      <c r="A404" s="245"/>
      <c r="D404" s="245"/>
      <c r="F404" s="389"/>
      <c r="G404" s="244"/>
      <c r="H404" s="244"/>
      <c r="I404" s="244"/>
      <c r="J404" s="244"/>
    </row>
    <row r="405" spans="1:10">
      <c r="A405" s="245"/>
      <c r="D405" s="245"/>
      <c r="F405" s="389"/>
      <c r="G405" s="244"/>
      <c r="H405" s="244"/>
      <c r="I405" s="244"/>
      <c r="J405" s="244"/>
    </row>
    <row r="406" spans="1:10">
      <c r="A406" s="245"/>
      <c r="D406" s="245"/>
      <c r="F406" s="389"/>
      <c r="G406" s="244"/>
      <c r="H406" s="244"/>
      <c r="I406" s="244"/>
      <c r="J406" s="244"/>
    </row>
    <row r="407" spans="1:10">
      <c r="A407" s="245"/>
      <c r="D407" s="245"/>
      <c r="F407" s="389"/>
      <c r="G407" s="244"/>
      <c r="H407" s="244"/>
      <c r="I407" s="244"/>
      <c r="J407" s="244"/>
    </row>
    <row r="408" spans="1:10">
      <c r="A408" s="245"/>
      <c r="D408" s="245"/>
      <c r="F408" s="389"/>
      <c r="G408" s="244"/>
      <c r="H408" s="244"/>
      <c r="I408" s="244"/>
      <c r="J408" s="244"/>
    </row>
    <row r="409" spans="1:10">
      <c r="A409" s="245"/>
      <c r="D409" s="245"/>
      <c r="F409" s="389"/>
      <c r="G409" s="244"/>
      <c r="H409" s="244"/>
      <c r="I409" s="244"/>
      <c r="J409" s="244"/>
    </row>
    <row r="410" spans="1:10">
      <c r="A410" s="245"/>
      <c r="D410" s="245"/>
      <c r="F410" s="389"/>
      <c r="G410" s="244"/>
      <c r="H410" s="244"/>
      <c r="I410" s="244"/>
      <c r="J410" s="244"/>
    </row>
    <row r="411" spans="1:10">
      <c r="A411" s="245"/>
      <c r="D411" s="245"/>
      <c r="F411" s="389"/>
      <c r="G411" s="244"/>
      <c r="H411" s="244"/>
      <c r="I411" s="244"/>
      <c r="J411" s="244"/>
    </row>
    <row r="412" spans="1:10">
      <c r="A412" s="245"/>
      <c r="D412" s="245"/>
      <c r="F412" s="389"/>
      <c r="G412" s="244"/>
      <c r="H412" s="244"/>
      <c r="I412" s="244"/>
      <c r="J412" s="244"/>
    </row>
    <row r="413" spans="1:10">
      <c r="A413" s="245"/>
      <c r="D413" s="245"/>
      <c r="F413" s="389"/>
      <c r="G413" s="244"/>
      <c r="H413" s="244"/>
      <c r="I413" s="244"/>
      <c r="J413" s="244"/>
    </row>
    <row r="414" spans="1:10">
      <c r="A414" s="245"/>
      <c r="D414" s="245"/>
      <c r="F414" s="389"/>
      <c r="G414" s="244"/>
      <c r="H414" s="244"/>
      <c r="I414" s="244"/>
      <c r="J414" s="244"/>
    </row>
    <row r="415" spans="1:10">
      <c r="A415" s="245"/>
      <c r="D415" s="245"/>
      <c r="F415" s="389"/>
      <c r="G415" s="244"/>
      <c r="H415" s="244"/>
      <c r="I415" s="244"/>
      <c r="J415" s="244"/>
    </row>
    <row r="416" spans="1:10">
      <c r="A416" s="245"/>
      <c r="D416" s="245"/>
      <c r="F416" s="389"/>
      <c r="G416" s="244"/>
      <c r="H416" s="244"/>
      <c r="I416" s="244"/>
      <c r="J416" s="244"/>
    </row>
    <row r="417" spans="1:10">
      <c r="A417" s="245"/>
      <c r="D417" s="245"/>
      <c r="F417" s="389"/>
      <c r="G417" s="244"/>
      <c r="H417" s="244"/>
      <c r="I417" s="244"/>
      <c r="J417" s="244"/>
    </row>
    <row r="418" spans="1:10">
      <c r="A418" s="245"/>
      <c r="D418" s="245"/>
      <c r="F418" s="389"/>
      <c r="G418" s="244"/>
      <c r="H418" s="244"/>
      <c r="I418" s="244"/>
      <c r="J418" s="244"/>
    </row>
    <row r="419" spans="1:10">
      <c r="A419" s="245"/>
      <c r="D419" s="245"/>
      <c r="F419" s="389"/>
      <c r="G419" s="244"/>
      <c r="H419" s="244"/>
      <c r="I419" s="244"/>
      <c r="J419" s="244"/>
    </row>
    <row r="420" spans="1:10">
      <c r="A420" s="245"/>
      <c r="D420" s="245"/>
      <c r="F420" s="389"/>
      <c r="G420" s="244"/>
      <c r="H420" s="244"/>
      <c r="I420" s="244"/>
      <c r="J420" s="244"/>
    </row>
    <row r="421" spans="1:10">
      <c r="A421" s="245"/>
      <c r="D421" s="245"/>
      <c r="F421" s="389"/>
      <c r="G421" s="244"/>
      <c r="H421" s="244"/>
      <c r="I421" s="244"/>
      <c r="J421" s="244"/>
    </row>
    <row r="422" spans="1:10">
      <c r="A422" s="245"/>
      <c r="D422" s="245"/>
      <c r="F422" s="389"/>
      <c r="G422" s="244"/>
      <c r="H422" s="244"/>
      <c r="I422" s="244"/>
      <c r="J422" s="244"/>
    </row>
    <row r="423" spans="1:10">
      <c r="A423" s="245"/>
      <c r="D423" s="245"/>
      <c r="F423" s="389"/>
      <c r="G423" s="244"/>
      <c r="H423" s="244"/>
      <c r="I423" s="244"/>
      <c r="J423" s="244"/>
    </row>
    <row r="424" spans="1:10">
      <c r="A424" s="245"/>
      <c r="D424" s="245"/>
      <c r="F424" s="389"/>
      <c r="G424" s="244"/>
      <c r="H424" s="244"/>
      <c r="I424" s="244"/>
      <c r="J424" s="244"/>
    </row>
    <row r="425" spans="1:10">
      <c r="A425" s="245"/>
      <c r="D425" s="245"/>
      <c r="F425" s="389"/>
      <c r="G425" s="244"/>
      <c r="H425" s="244"/>
      <c r="I425" s="244"/>
      <c r="J425" s="244"/>
    </row>
    <row r="426" spans="1:10">
      <c r="A426" s="245"/>
      <c r="D426" s="245"/>
      <c r="F426" s="389"/>
      <c r="G426" s="244"/>
      <c r="H426" s="244"/>
      <c r="I426" s="244"/>
      <c r="J426" s="244"/>
    </row>
    <row r="427" spans="1:10">
      <c r="A427" s="245"/>
      <c r="D427" s="245"/>
      <c r="F427" s="389"/>
      <c r="G427" s="244"/>
      <c r="H427" s="244"/>
      <c r="I427" s="244"/>
      <c r="J427" s="244"/>
    </row>
    <row r="428" spans="1:10">
      <c r="A428" s="245"/>
      <c r="D428" s="245"/>
      <c r="F428" s="389"/>
      <c r="G428" s="244"/>
      <c r="H428" s="244"/>
      <c r="I428" s="244"/>
      <c r="J428" s="244"/>
    </row>
    <row r="429" spans="1:10">
      <c r="A429" s="245"/>
      <c r="D429" s="245"/>
      <c r="F429" s="389"/>
      <c r="G429" s="244"/>
      <c r="H429" s="244"/>
      <c r="I429" s="244"/>
      <c r="J429" s="244"/>
    </row>
    <row r="430" spans="1:10">
      <c r="A430" s="245"/>
      <c r="D430" s="245"/>
      <c r="F430" s="389"/>
      <c r="G430" s="244"/>
      <c r="H430" s="244"/>
      <c r="I430" s="244"/>
      <c r="J430" s="244"/>
    </row>
    <row r="431" spans="1:10">
      <c r="A431" s="245"/>
      <c r="D431" s="245"/>
      <c r="F431" s="389"/>
      <c r="G431" s="244"/>
      <c r="H431" s="244"/>
      <c r="I431" s="244"/>
      <c r="J431" s="244"/>
    </row>
    <row r="432" spans="1:10">
      <c r="A432" s="245"/>
      <c r="D432" s="245"/>
      <c r="F432" s="389"/>
      <c r="G432" s="244"/>
      <c r="H432" s="244"/>
      <c r="I432" s="244"/>
      <c r="J432" s="244"/>
    </row>
    <row r="433" spans="1:10">
      <c r="A433" s="245"/>
      <c r="D433" s="245"/>
      <c r="F433" s="389"/>
      <c r="G433" s="244"/>
      <c r="H433" s="244"/>
      <c r="I433" s="244"/>
      <c r="J433" s="244"/>
    </row>
    <row r="434" spans="1:10">
      <c r="A434" s="245"/>
      <c r="D434" s="245"/>
      <c r="F434" s="389"/>
      <c r="G434" s="244"/>
      <c r="H434" s="244"/>
      <c r="I434" s="244"/>
      <c r="J434" s="244"/>
    </row>
    <row r="435" spans="1:10">
      <c r="A435" s="245"/>
      <c r="D435" s="245"/>
      <c r="F435" s="389"/>
      <c r="G435" s="244"/>
      <c r="H435" s="244"/>
      <c r="I435" s="244"/>
      <c r="J435" s="244"/>
    </row>
    <row r="436" spans="1:10">
      <c r="A436" s="245"/>
      <c r="D436" s="245"/>
      <c r="F436" s="389"/>
      <c r="G436" s="244"/>
      <c r="H436" s="244"/>
      <c r="I436" s="244"/>
      <c r="J436" s="244"/>
    </row>
    <row r="437" spans="1:10">
      <c r="A437" s="245"/>
      <c r="D437" s="245"/>
      <c r="F437" s="389"/>
      <c r="G437" s="244"/>
      <c r="H437" s="244"/>
      <c r="I437" s="244"/>
      <c r="J437" s="244"/>
    </row>
    <row r="438" spans="1:10">
      <c r="A438" s="245"/>
      <c r="D438" s="245"/>
      <c r="F438" s="389"/>
      <c r="G438" s="244"/>
      <c r="H438" s="244"/>
      <c r="I438" s="244"/>
      <c r="J438" s="244"/>
    </row>
    <row r="439" spans="1:10">
      <c r="A439" s="245"/>
      <c r="D439" s="245"/>
      <c r="F439" s="389"/>
      <c r="G439" s="244"/>
      <c r="H439" s="244"/>
      <c r="I439" s="244"/>
      <c r="J439" s="244"/>
    </row>
    <row r="440" spans="1:10">
      <c r="A440" s="245"/>
      <c r="D440" s="245"/>
      <c r="F440" s="389"/>
      <c r="G440" s="244"/>
      <c r="H440" s="244"/>
      <c r="I440" s="244"/>
      <c r="J440" s="244"/>
    </row>
    <row r="441" spans="1:10">
      <c r="A441" s="245"/>
      <c r="D441" s="245"/>
      <c r="F441" s="389"/>
      <c r="G441" s="244"/>
      <c r="H441" s="244"/>
      <c r="I441" s="244"/>
      <c r="J441" s="244"/>
    </row>
    <row r="442" spans="1:10">
      <c r="A442" s="245"/>
      <c r="D442" s="245"/>
      <c r="F442" s="389"/>
      <c r="G442" s="244"/>
      <c r="H442" s="244"/>
      <c r="I442" s="244"/>
      <c r="J442" s="244"/>
    </row>
    <row r="443" spans="1:10">
      <c r="A443" s="245"/>
      <c r="D443" s="245"/>
      <c r="F443" s="389"/>
      <c r="G443" s="244"/>
      <c r="H443" s="244"/>
      <c r="I443" s="244"/>
      <c r="J443" s="244"/>
    </row>
    <row r="444" spans="1:10">
      <c r="A444" s="245"/>
      <c r="D444" s="245"/>
      <c r="F444" s="389"/>
      <c r="G444" s="244"/>
      <c r="H444" s="244"/>
      <c r="I444" s="244"/>
      <c r="J444" s="244"/>
    </row>
    <row r="445" spans="1:10">
      <c r="A445" s="245"/>
      <c r="D445" s="245"/>
      <c r="F445" s="389"/>
      <c r="G445" s="244"/>
      <c r="H445" s="244"/>
      <c r="I445" s="244"/>
      <c r="J445" s="244"/>
    </row>
    <row r="446" spans="1:10">
      <c r="A446" s="245"/>
      <c r="D446" s="245"/>
      <c r="F446" s="389"/>
      <c r="G446" s="244"/>
      <c r="H446" s="244"/>
      <c r="I446" s="244"/>
      <c r="J446" s="244"/>
    </row>
    <row r="447" spans="1:10">
      <c r="A447" s="245"/>
      <c r="D447" s="245"/>
      <c r="F447" s="389"/>
      <c r="G447" s="244"/>
      <c r="H447" s="244"/>
      <c r="I447" s="244"/>
      <c r="J447" s="244"/>
    </row>
    <row r="448" spans="1:10">
      <c r="A448" s="245"/>
      <c r="D448" s="245"/>
      <c r="F448" s="389"/>
      <c r="G448" s="244"/>
      <c r="H448" s="244"/>
      <c r="I448" s="244"/>
      <c r="J448" s="244"/>
    </row>
    <row r="449" spans="1:10">
      <c r="A449" s="245"/>
      <c r="D449" s="245"/>
      <c r="F449" s="389"/>
      <c r="G449" s="244"/>
      <c r="H449" s="244"/>
      <c r="I449" s="244"/>
      <c r="J449" s="244"/>
    </row>
    <row r="450" spans="1:10">
      <c r="A450" s="245"/>
      <c r="D450" s="245"/>
      <c r="F450" s="389"/>
      <c r="G450" s="244"/>
      <c r="H450" s="244"/>
      <c r="I450" s="244"/>
      <c r="J450" s="244"/>
    </row>
    <row r="451" spans="1:10">
      <c r="A451" s="245"/>
      <c r="D451" s="245"/>
      <c r="F451" s="389"/>
      <c r="G451" s="244"/>
      <c r="H451" s="244"/>
      <c r="I451" s="244"/>
      <c r="J451" s="244"/>
    </row>
    <row r="452" spans="1:10">
      <c r="A452" s="245"/>
      <c r="D452" s="245"/>
      <c r="F452" s="389"/>
      <c r="G452" s="244"/>
      <c r="H452" s="244"/>
      <c r="I452" s="244"/>
      <c r="J452" s="244"/>
    </row>
    <row r="453" spans="1:10">
      <c r="A453" s="245"/>
      <c r="D453" s="245"/>
      <c r="F453" s="389"/>
      <c r="G453" s="244"/>
      <c r="H453" s="244"/>
      <c r="I453" s="244"/>
      <c r="J453" s="244"/>
    </row>
    <row r="454" spans="1:10">
      <c r="A454" s="245"/>
      <c r="D454" s="245"/>
      <c r="F454" s="389"/>
      <c r="G454" s="244"/>
      <c r="H454" s="244"/>
      <c r="I454" s="244"/>
      <c r="J454" s="244"/>
    </row>
    <row r="455" spans="1:10">
      <c r="A455" s="245"/>
      <c r="D455" s="245"/>
      <c r="F455" s="389"/>
      <c r="G455" s="244"/>
      <c r="H455" s="244"/>
      <c r="I455" s="244"/>
      <c r="J455" s="244"/>
    </row>
    <row r="456" spans="1:10">
      <c r="A456" s="245"/>
      <c r="D456" s="245"/>
      <c r="F456" s="389"/>
      <c r="G456" s="244"/>
      <c r="H456" s="244"/>
      <c r="I456" s="244"/>
      <c r="J456" s="244"/>
    </row>
    <row r="457" spans="1:10">
      <c r="A457" s="245"/>
      <c r="D457" s="245"/>
      <c r="F457" s="389"/>
      <c r="G457" s="244"/>
      <c r="H457" s="244"/>
      <c r="I457" s="244"/>
      <c r="J457" s="244"/>
    </row>
    <row r="458" spans="1:10">
      <c r="A458" s="245"/>
      <c r="D458" s="245"/>
      <c r="F458" s="389"/>
      <c r="G458" s="244"/>
      <c r="H458" s="244"/>
      <c r="I458" s="244"/>
      <c r="J458" s="244"/>
    </row>
    <row r="459" spans="1:10">
      <c r="A459" s="245"/>
      <c r="D459" s="245"/>
      <c r="F459" s="389"/>
      <c r="G459" s="244"/>
      <c r="H459" s="244"/>
      <c r="I459" s="244"/>
      <c r="J459" s="244"/>
    </row>
    <row r="460" spans="1:10">
      <c r="A460" s="245"/>
      <c r="D460" s="245"/>
      <c r="F460" s="389"/>
      <c r="G460" s="244"/>
      <c r="H460" s="244"/>
      <c r="I460" s="244"/>
      <c r="J460" s="244"/>
    </row>
    <row r="461" spans="1:10">
      <c r="A461" s="245"/>
      <c r="D461" s="245"/>
      <c r="F461" s="389"/>
      <c r="G461" s="244"/>
      <c r="H461" s="244"/>
      <c r="I461" s="244"/>
      <c r="J461" s="244"/>
    </row>
    <row r="462" spans="1:10">
      <c r="A462" s="245"/>
      <c r="D462" s="245"/>
      <c r="F462" s="389"/>
      <c r="G462" s="244"/>
      <c r="H462" s="244"/>
      <c r="I462" s="244"/>
      <c r="J462" s="244"/>
    </row>
    <row r="463" spans="1:10">
      <c r="A463" s="245"/>
      <c r="D463" s="245"/>
      <c r="F463" s="389"/>
      <c r="G463" s="244"/>
      <c r="H463" s="244"/>
      <c r="I463" s="244"/>
      <c r="J463" s="244"/>
    </row>
    <row r="464" spans="1:10">
      <c r="A464" s="245"/>
      <c r="D464" s="245"/>
      <c r="F464" s="389"/>
      <c r="G464" s="244"/>
      <c r="H464" s="244"/>
      <c r="I464" s="244"/>
      <c r="J464" s="244"/>
    </row>
    <row r="465" spans="1:10">
      <c r="A465" s="245"/>
      <c r="D465" s="245"/>
      <c r="F465" s="389"/>
      <c r="G465" s="244"/>
      <c r="H465" s="244"/>
      <c r="I465" s="244"/>
      <c r="J465" s="244"/>
    </row>
    <row r="466" spans="1:10">
      <c r="A466" s="245"/>
      <c r="D466" s="245"/>
      <c r="F466" s="389"/>
      <c r="G466" s="244"/>
      <c r="H466" s="244"/>
      <c r="I466" s="244"/>
      <c r="J466" s="244"/>
    </row>
    <row r="467" spans="1:10">
      <c r="A467" s="245"/>
      <c r="D467" s="245"/>
      <c r="F467" s="389"/>
      <c r="G467" s="244"/>
      <c r="H467" s="244"/>
      <c r="I467" s="244"/>
      <c r="J467" s="244"/>
    </row>
    <row r="468" spans="1:10">
      <c r="A468" s="245"/>
      <c r="D468" s="245"/>
      <c r="F468" s="389"/>
      <c r="G468" s="244"/>
      <c r="H468" s="244"/>
      <c r="I468" s="244"/>
      <c r="J468" s="244"/>
    </row>
    <row r="469" spans="1:10">
      <c r="A469" s="245"/>
      <c r="D469" s="245"/>
      <c r="F469" s="389"/>
      <c r="G469" s="244"/>
      <c r="H469" s="244"/>
      <c r="I469" s="244"/>
      <c r="J469" s="244"/>
    </row>
    <row r="470" spans="1:10">
      <c r="A470" s="245"/>
      <c r="D470" s="245"/>
      <c r="F470" s="389"/>
      <c r="G470" s="244"/>
      <c r="H470" s="244"/>
      <c r="I470" s="244"/>
      <c r="J470" s="244"/>
    </row>
    <row r="471" spans="1:10">
      <c r="A471" s="245"/>
      <c r="D471" s="245"/>
      <c r="F471" s="389"/>
      <c r="G471" s="244"/>
      <c r="H471" s="244"/>
      <c r="I471" s="244"/>
      <c r="J471" s="244"/>
    </row>
    <row r="472" spans="1:10">
      <c r="A472" s="245"/>
      <c r="D472" s="245"/>
      <c r="F472" s="389"/>
      <c r="G472" s="244"/>
      <c r="H472" s="244"/>
      <c r="I472" s="244"/>
      <c r="J472" s="244"/>
    </row>
    <row r="473" spans="1:10">
      <c r="A473" s="245"/>
      <c r="D473" s="245"/>
      <c r="F473" s="389"/>
      <c r="G473" s="244"/>
      <c r="H473" s="244"/>
      <c r="I473" s="244"/>
      <c r="J473" s="244"/>
    </row>
    <row r="474" spans="1:10">
      <c r="A474" s="245"/>
      <c r="D474" s="245"/>
      <c r="F474" s="389"/>
      <c r="G474" s="244"/>
      <c r="H474" s="244"/>
      <c r="I474" s="244"/>
      <c r="J474" s="244"/>
    </row>
    <row r="475" spans="1:10">
      <c r="A475" s="245"/>
      <c r="D475" s="245"/>
      <c r="F475" s="389"/>
      <c r="G475" s="244"/>
      <c r="H475" s="244"/>
      <c r="I475" s="244"/>
      <c r="J475" s="244"/>
    </row>
    <row r="476" spans="1:10">
      <c r="A476" s="245"/>
      <c r="D476" s="245"/>
      <c r="F476" s="389"/>
      <c r="G476" s="244"/>
      <c r="H476" s="244"/>
      <c r="I476" s="244"/>
      <c r="J476" s="244"/>
    </row>
    <row r="477" spans="1:10">
      <c r="A477" s="245"/>
      <c r="D477" s="245"/>
      <c r="F477" s="389"/>
      <c r="G477" s="244"/>
      <c r="H477" s="244"/>
      <c r="I477" s="244"/>
      <c r="J477" s="244"/>
    </row>
    <row r="478" spans="1:10">
      <c r="A478" s="245"/>
      <c r="D478" s="245"/>
      <c r="F478" s="389"/>
      <c r="G478" s="244"/>
      <c r="H478" s="244"/>
      <c r="I478" s="244"/>
      <c r="J478" s="244"/>
    </row>
    <row r="479" spans="1:10">
      <c r="A479" s="245"/>
      <c r="D479" s="245"/>
      <c r="F479" s="389"/>
      <c r="G479" s="244"/>
      <c r="H479" s="244"/>
      <c r="I479" s="244"/>
      <c r="J479" s="244"/>
    </row>
    <row r="480" spans="1:10">
      <c r="A480" s="245"/>
      <c r="D480" s="245"/>
      <c r="F480" s="389"/>
      <c r="G480" s="244"/>
      <c r="H480" s="244"/>
      <c r="I480" s="244"/>
      <c r="J480" s="244"/>
    </row>
    <row r="481" spans="1:10">
      <c r="A481" s="245"/>
      <c r="D481" s="245"/>
      <c r="F481" s="389"/>
      <c r="G481" s="244"/>
      <c r="H481" s="244"/>
      <c r="I481" s="244"/>
      <c r="J481" s="244"/>
    </row>
    <row r="482" spans="1:10">
      <c r="A482" s="245"/>
      <c r="D482" s="245"/>
      <c r="F482" s="389"/>
      <c r="G482" s="244"/>
      <c r="H482" s="244"/>
      <c r="I482" s="244"/>
      <c r="J482" s="244"/>
    </row>
    <row r="483" spans="1:10">
      <c r="A483" s="245"/>
      <c r="D483" s="245"/>
      <c r="F483" s="389"/>
      <c r="G483" s="244"/>
      <c r="H483" s="244"/>
      <c r="I483" s="244"/>
      <c r="J483" s="244"/>
    </row>
    <row r="484" spans="1:10">
      <c r="A484" s="245"/>
      <c r="D484" s="245"/>
      <c r="F484" s="389"/>
      <c r="G484" s="244"/>
      <c r="H484" s="244"/>
      <c r="I484" s="244"/>
      <c r="J484" s="244"/>
    </row>
    <row r="485" spans="1:10">
      <c r="A485" s="245"/>
      <c r="D485" s="245"/>
      <c r="F485" s="389"/>
      <c r="G485" s="244"/>
      <c r="H485" s="244"/>
      <c r="I485" s="244"/>
      <c r="J485" s="244"/>
    </row>
    <row r="486" spans="1:10">
      <c r="A486" s="245"/>
      <c r="D486" s="245"/>
      <c r="F486" s="389"/>
      <c r="G486" s="244"/>
      <c r="H486" s="244"/>
      <c r="I486" s="244"/>
      <c r="J486" s="244"/>
    </row>
    <row r="487" spans="1:10">
      <c r="A487" s="245"/>
      <c r="D487" s="245"/>
      <c r="F487" s="389"/>
      <c r="G487" s="244"/>
      <c r="H487" s="244"/>
      <c r="I487" s="244"/>
      <c r="J487" s="244"/>
    </row>
    <row r="488" spans="1:10">
      <c r="A488" s="245"/>
      <c r="D488" s="245"/>
      <c r="F488" s="389"/>
      <c r="G488" s="244"/>
      <c r="H488" s="244"/>
      <c r="I488" s="244"/>
      <c r="J488" s="244"/>
    </row>
    <row r="489" spans="1:10">
      <c r="A489" s="245"/>
      <c r="D489" s="245"/>
      <c r="F489" s="389"/>
      <c r="G489" s="244"/>
      <c r="H489" s="244"/>
      <c r="I489" s="244"/>
      <c r="J489" s="244"/>
    </row>
    <row r="490" spans="1:10">
      <c r="A490" s="245"/>
      <c r="D490" s="245"/>
      <c r="F490" s="389"/>
      <c r="G490" s="244"/>
      <c r="H490" s="244"/>
      <c r="I490" s="244"/>
      <c r="J490" s="244"/>
    </row>
    <row r="491" spans="1:10">
      <c r="A491" s="245"/>
      <c r="D491" s="245"/>
      <c r="F491" s="389"/>
      <c r="G491" s="244"/>
      <c r="H491" s="244"/>
      <c r="I491" s="244"/>
      <c r="J491" s="244"/>
    </row>
    <row r="492" spans="1:10">
      <c r="A492" s="245"/>
      <c r="D492" s="245"/>
      <c r="F492" s="389"/>
      <c r="G492" s="244"/>
      <c r="H492" s="244"/>
      <c r="I492" s="244"/>
      <c r="J492" s="244"/>
    </row>
    <row r="493" spans="1:10">
      <c r="A493" s="245"/>
      <c r="D493" s="245"/>
      <c r="F493" s="389"/>
      <c r="G493" s="244"/>
      <c r="H493" s="244"/>
      <c r="I493" s="244"/>
      <c r="J493" s="244"/>
    </row>
    <row r="494" spans="1:10">
      <c r="A494" s="245"/>
      <c r="D494" s="245"/>
      <c r="F494" s="389"/>
      <c r="G494" s="244"/>
      <c r="H494" s="244"/>
      <c r="I494" s="244"/>
      <c r="J494" s="244"/>
    </row>
    <row r="495" spans="1:10">
      <c r="A495" s="245"/>
      <c r="D495" s="245"/>
      <c r="F495" s="389"/>
      <c r="G495" s="244"/>
      <c r="H495" s="244"/>
      <c r="I495" s="244"/>
      <c r="J495" s="244"/>
    </row>
    <row r="496" spans="1:10">
      <c r="A496" s="245"/>
      <c r="D496" s="245"/>
      <c r="F496" s="389"/>
      <c r="G496" s="244"/>
      <c r="H496" s="244"/>
      <c r="I496" s="244"/>
      <c r="J496" s="244"/>
    </row>
    <row r="497" spans="1:10">
      <c r="A497" s="245"/>
      <c r="D497" s="245"/>
      <c r="F497" s="389"/>
      <c r="G497" s="244"/>
      <c r="H497" s="244"/>
      <c r="I497" s="244"/>
      <c r="J497" s="244"/>
    </row>
    <row r="498" spans="1:10">
      <c r="A498" s="245"/>
      <c r="D498" s="245"/>
      <c r="F498" s="389"/>
      <c r="G498" s="244"/>
      <c r="H498" s="244"/>
      <c r="I498" s="244"/>
      <c r="J498" s="244"/>
    </row>
    <row r="499" spans="1:10">
      <c r="A499" s="245"/>
      <c r="D499" s="245"/>
      <c r="F499" s="389"/>
      <c r="G499" s="244"/>
      <c r="H499" s="244"/>
      <c r="I499" s="244"/>
      <c r="J499" s="244"/>
    </row>
    <row r="500" spans="1:10">
      <c r="A500" s="245"/>
      <c r="D500" s="245"/>
      <c r="F500" s="389"/>
      <c r="G500" s="244"/>
      <c r="H500" s="244"/>
      <c r="I500" s="244"/>
      <c r="J500" s="244"/>
    </row>
    <row r="501" spans="1:10">
      <c r="A501" s="245"/>
      <c r="D501" s="245"/>
      <c r="F501" s="389"/>
      <c r="G501" s="244"/>
      <c r="H501" s="244"/>
      <c r="I501" s="244"/>
      <c r="J501" s="244"/>
    </row>
    <row r="502" spans="1:10">
      <c r="A502" s="245"/>
      <c r="D502" s="245"/>
      <c r="F502" s="389"/>
      <c r="G502" s="244"/>
      <c r="H502" s="244"/>
      <c r="I502" s="244"/>
      <c r="J502" s="244"/>
    </row>
    <row r="503" spans="1:10">
      <c r="A503" s="245"/>
      <c r="D503" s="245"/>
      <c r="F503" s="389"/>
      <c r="G503" s="244"/>
      <c r="H503" s="244"/>
      <c r="I503" s="244"/>
      <c r="J503" s="244"/>
    </row>
    <row r="504" spans="1:10">
      <c r="A504" s="245"/>
      <c r="D504" s="245"/>
      <c r="F504" s="389"/>
      <c r="G504" s="244"/>
      <c r="H504" s="244"/>
      <c r="I504" s="244"/>
      <c r="J504" s="244"/>
    </row>
    <row r="505" spans="1:10">
      <c r="A505" s="245"/>
      <c r="D505" s="245"/>
      <c r="F505" s="389"/>
      <c r="G505" s="244"/>
      <c r="H505" s="244"/>
      <c r="I505" s="244"/>
      <c r="J505" s="244"/>
    </row>
    <row r="506" spans="1:10">
      <c r="A506" s="245"/>
      <c r="D506" s="245"/>
      <c r="F506" s="389"/>
      <c r="G506" s="244"/>
      <c r="H506" s="244"/>
      <c r="I506" s="244"/>
      <c r="J506" s="244"/>
    </row>
    <row r="507" spans="1:10">
      <c r="A507" s="245"/>
      <c r="D507" s="245"/>
      <c r="F507" s="389"/>
      <c r="G507" s="244"/>
      <c r="H507" s="244"/>
      <c r="I507" s="244"/>
      <c r="J507" s="244"/>
    </row>
    <row r="508" spans="1:10">
      <c r="A508" s="245"/>
      <c r="D508" s="245"/>
      <c r="F508" s="389"/>
      <c r="G508" s="244"/>
      <c r="H508" s="244"/>
      <c r="I508" s="244"/>
      <c r="J508" s="244"/>
    </row>
    <row r="509" spans="1:10">
      <c r="A509" s="245"/>
      <c r="D509" s="245"/>
      <c r="F509" s="389"/>
      <c r="G509" s="244"/>
      <c r="H509" s="244"/>
      <c r="I509" s="244"/>
      <c r="J509" s="244"/>
    </row>
    <row r="510" spans="1:10">
      <c r="A510" s="245"/>
      <c r="D510" s="245"/>
      <c r="F510" s="389"/>
      <c r="G510" s="244"/>
      <c r="H510" s="244"/>
      <c r="I510" s="244"/>
      <c r="J510" s="244"/>
    </row>
    <row r="511" spans="1:10">
      <c r="A511" s="245"/>
      <c r="D511" s="245"/>
      <c r="F511" s="389"/>
      <c r="G511" s="244"/>
      <c r="H511" s="244"/>
      <c r="I511" s="244"/>
      <c r="J511" s="244"/>
    </row>
    <row r="512" spans="1:10">
      <c r="A512" s="245"/>
      <c r="D512" s="245"/>
      <c r="F512" s="389"/>
      <c r="G512" s="244"/>
      <c r="H512" s="244"/>
      <c r="I512" s="244"/>
      <c r="J512" s="244"/>
    </row>
    <row r="513" spans="1:10">
      <c r="A513" s="245"/>
      <c r="D513" s="245"/>
      <c r="F513" s="389"/>
      <c r="G513" s="244"/>
      <c r="H513" s="244"/>
      <c r="I513" s="244"/>
      <c r="J513" s="244"/>
    </row>
    <row r="514" spans="1:10">
      <c r="A514" s="245"/>
      <c r="D514" s="245"/>
      <c r="F514" s="389"/>
      <c r="G514" s="244"/>
      <c r="H514" s="244"/>
      <c r="I514" s="244"/>
      <c r="J514" s="244"/>
    </row>
    <row r="515" spans="1:10">
      <c r="A515" s="245"/>
      <c r="D515" s="245"/>
      <c r="F515" s="389"/>
      <c r="G515" s="244"/>
      <c r="H515" s="244"/>
      <c r="I515" s="244"/>
      <c r="J515" s="244"/>
    </row>
    <row r="516" spans="1:10">
      <c r="A516" s="245"/>
      <c r="D516" s="245"/>
      <c r="F516" s="389"/>
      <c r="G516" s="244"/>
      <c r="H516" s="244"/>
      <c r="I516" s="244"/>
      <c r="J516" s="244"/>
    </row>
    <row r="517" spans="1:10">
      <c r="A517" s="245"/>
      <c r="D517" s="245"/>
      <c r="F517" s="389"/>
      <c r="G517" s="244"/>
      <c r="H517" s="244"/>
      <c r="I517" s="244"/>
      <c r="J517" s="244"/>
    </row>
    <row r="518" spans="1:10">
      <c r="A518" s="245"/>
      <c r="D518" s="245"/>
      <c r="F518" s="389"/>
      <c r="G518" s="244"/>
      <c r="H518" s="244"/>
      <c r="I518" s="244"/>
      <c r="J518" s="244"/>
    </row>
    <row r="519" spans="1:10">
      <c r="A519" s="245"/>
      <c r="D519" s="245"/>
      <c r="F519" s="389"/>
      <c r="G519" s="244"/>
      <c r="H519" s="244"/>
      <c r="I519" s="244"/>
      <c r="J519" s="244"/>
    </row>
    <row r="520" spans="1:10">
      <c r="A520" s="245"/>
      <c r="D520" s="245"/>
      <c r="F520" s="389"/>
      <c r="G520" s="244"/>
      <c r="H520" s="244"/>
      <c r="I520" s="244"/>
      <c r="J520" s="244"/>
    </row>
    <row r="521" spans="1:10">
      <c r="A521" s="245"/>
      <c r="D521" s="245"/>
      <c r="F521" s="389"/>
      <c r="G521" s="244"/>
      <c r="H521" s="244"/>
      <c r="I521" s="244"/>
      <c r="J521" s="244"/>
    </row>
    <row r="522" spans="1:10">
      <c r="A522" s="245"/>
      <c r="D522" s="245"/>
      <c r="F522" s="389"/>
      <c r="G522" s="244"/>
      <c r="H522" s="244"/>
      <c r="I522" s="244"/>
      <c r="J522" s="244"/>
    </row>
    <row r="523" spans="1:10">
      <c r="A523" s="245"/>
      <c r="D523" s="245"/>
      <c r="F523" s="389"/>
      <c r="G523" s="244"/>
      <c r="H523" s="244"/>
      <c r="I523" s="244"/>
      <c r="J523" s="244"/>
    </row>
    <row r="524" spans="1:10">
      <c r="A524" s="245"/>
      <c r="D524" s="245"/>
      <c r="F524" s="389"/>
      <c r="G524" s="244"/>
      <c r="H524" s="244"/>
      <c r="I524" s="244"/>
      <c r="J524" s="244"/>
    </row>
    <row r="525" spans="1:10">
      <c r="A525" s="245"/>
      <c r="D525" s="245"/>
      <c r="F525" s="389"/>
      <c r="G525" s="244"/>
      <c r="H525" s="244"/>
      <c r="I525" s="244"/>
      <c r="J525" s="244"/>
    </row>
    <row r="526" spans="1:10">
      <c r="A526" s="245"/>
      <c r="D526" s="245"/>
      <c r="F526" s="389"/>
      <c r="G526" s="244"/>
      <c r="H526" s="244"/>
      <c r="I526" s="244"/>
      <c r="J526" s="244"/>
    </row>
    <row r="527" spans="1:10">
      <c r="A527" s="245"/>
      <c r="D527" s="245"/>
      <c r="F527" s="389"/>
      <c r="G527" s="244"/>
      <c r="H527" s="244"/>
      <c r="I527" s="244"/>
      <c r="J527" s="244"/>
    </row>
    <row r="528" spans="1:10">
      <c r="A528" s="245"/>
      <c r="D528" s="245"/>
      <c r="F528" s="389"/>
      <c r="G528" s="244"/>
      <c r="H528" s="244"/>
      <c r="I528" s="244"/>
      <c r="J528" s="244"/>
    </row>
    <row r="529" spans="1:10">
      <c r="A529" s="245"/>
      <c r="D529" s="245"/>
      <c r="F529" s="389"/>
      <c r="G529" s="244"/>
      <c r="H529" s="244"/>
      <c r="I529" s="244"/>
      <c r="J529" s="244"/>
    </row>
    <row r="530" spans="1:10">
      <c r="A530" s="245"/>
      <c r="D530" s="245"/>
      <c r="F530" s="389"/>
      <c r="G530" s="244"/>
      <c r="H530" s="244"/>
      <c r="I530" s="244"/>
      <c r="J530" s="244"/>
    </row>
    <row r="531" spans="1:10">
      <c r="A531" s="245"/>
      <c r="D531" s="245"/>
      <c r="F531" s="389"/>
      <c r="G531" s="244"/>
      <c r="H531" s="244"/>
      <c r="I531" s="244"/>
      <c r="J531" s="244"/>
    </row>
    <row r="532" spans="1:10">
      <c r="A532" s="245"/>
      <c r="D532" s="245"/>
      <c r="F532" s="389"/>
      <c r="G532" s="244"/>
      <c r="H532" s="244"/>
      <c r="I532" s="244"/>
      <c r="J532" s="244"/>
    </row>
    <row r="533" spans="1:10">
      <c r="A533" s="245"/>
      <c r="D533" s="245"/>
      <c r="F533" s="389"/>
      <c r="G533" s="244"/>
      <c r="H533" s="244"/>
      <c r="I533" s="244"/>
      <c r="J533" s="244"/>
    </row>
    <row r="534" spans="1:10">
      <c r="A534" s="245"/>
      <c r="D534" s="245"/>
      <c r="F534" s="389"/>
      <c r="G534" s="244"/>
      <c r="H534" s="244"/>
      <c r="I534" s="244"/>
      <c r="J534" s="244"/>
    </row>
    <row r="535" spans="1:10">
      <c r="A535" s="245"/>
      <c r="D535" s="245"/>
      <c r="F535" s="389"/>
      <c r="G535" s="244"/>
      <c r="H535" s="244"/>
      <c r="I535" s="244"/>
      <c r="J535" s="244"/>
    </row>
    <row r="536" spans="1:10">
      <c r="A536" s="245"/>
      <c r="D536" s="245"/>
      <c r="F536" s="389"/>
      <c r="G536" s="244"/>
      <c r="H536" s="244"/>
      <c r="I536" s="244"/>
      <c r="J536" s="244"/>
    </row>
    <row r="537" spans="1:10">
      <c r="A537" s="245"/>
      <c r="D537" s="245"/>
      <c r="F537" s="389"/>
      <c r="G537" s="244"/>
      <c r="H537" s="244"/>
      <c r="I537" s="244"/>
      <c r="J537" s="244"/>
    </row>
    <row r="538" spans="1:10">
      <c r="A538" s="245"/>
      <c r="D538" s="245"/>
      <c r="F538" s="389"/>
      <c r="G538" s="244"/>
      <c r="H538" s="244"/>
      <c r="I538" s="244"/>
      <c r="J538" s="244"/>
    </row>
    <row r="539" spans="1:10">
      <c r="A539" s="245"/>
      <c r="D539" s="245"/>
      <c r="F539" s="389"/>
      <c r="G539" s="244"/>
      <c r="H539" s="244"/>
      <c r="I539" s="244"/>
      <c r="J539" s="244"/>
    </row>
    <row r="540" spans="1:10">
      <c r="A540" s="245"/>
      <c r="D540" s="245"/>
      <c r="F540" s="389"/>
      <c r="G540" s="244"/>
      <c r="H540" s="244"/>
      <c r="I540" s="244"/>
      <c r="J540" s="244"/>
    </row>
    <row r="541" spans="1:10">
      <c r="A541" s="245"/>
      <c r="D541" s="245"/>
      <c r="F541" s="389"/>
      <c r="G541" s="244"/>
      <c r="H541" s="244"/>
      <c r="I541" s="244"/>
      <c r="J541" s="244"/>
    </row>
    <row r="542" spans="1:10">
      <c r="A542" s="245"/>
      <c r="D542" s="245"/>
      <c r="F542" s="389"/>
      <c r="G542" s="244"/>
      <c r="H542" s="244"/>
      <c r="I542" s="244"/>
      <c r="J542" s="244"/>
    </row>
    <row r="543" spans="1:10">
      <c r="A543" s="245"/>
      <c r="D543" s="245"/>
      <c r="F543" s="389"/>
      <c r="G543" s="244"/>
      <c r="H543" s="244"/>
      <c r="I543" s="244"/>
      <c r="J543" s="244"/>
    </row>
    <row r="544" spans="1:10">
      <c r="A544" s="245"/>
      <c r="D544" s="245"/>
      <c r="F544" s="389"/>
      <c r="G544" s="244"/>
      <c r="H544" s="244"/>
      <c r="I544" s="244"/>
      <c r="J544" s="244"/>
    </row>
    <row r="545" spans="1:10">
      <c r="A545" s="245"/>
      <c r="D545" s="245"/>
      <c r="F545" s="389"/>
      <c r="G545" s="244"/>
      <c r="H545" s="244"/>
      <c r="I545" s="244"/>
      <c r="J545" s="244"/>
    </row>
    <row r="546" spans="1:10">
      <c r="A546" s="245"/>
      <c r="D546" s="245"/>
      <c r="F546" s="389"/>
      <c r="G546" s="244"/>
      <c r="H546" s="244"/>
      <c r="I546" s="244"/>
      <c r="J546" s="244"/>
    </row>
    <row r="547" spans="1:10">
      <c r="A547" s="245"/>
      <c r="D547" s="245"/>
      <c r="F547" s="389"/>
      <c r="G547" s="244"/>
      <c r="H547" s="244"/>
      <c r="I547" s="244"/>
      <c r="J547" s="244"/>
    </row>
    <row r="548" spans="1:10">
      <c r="A548" s="245"/>
      <c r="D548" s="245"/>
      <c r="F548" s="389"/>
      <c r="G548" s="244"/>
      <c r="H548" s="244"/>
      <c r="I548" s="244"/>
      <c r="J548" s="244"/>
    </row>
    <row r="549" spans="1:10">
      <c r="A549" s="245"/>
      <c r="D549" s="245"/>
      <c r="F549" s="389"/>
      <c r="G549" s="244"/>
      <c r="H549" s="244"/>
      <c r="I549" s="244"/>
      <c r="J549" s="244"/>
    </row>
    <row r="550" spans="1:10">
      <c r="A550" s="245"/>
      <c r="D550" s="245"/>
      <c r="F550" s="389"/>
      <c r="G550" s="244"/>
      <c r="H550" s="244"/>
      <c r="I550" s="244"/>
      <c r="J550" s="244"/>
    </row>
    <row r="551" spans="1:10">
      <c r="A551" s="245"/>
      <c r="D551" s="245"/>
      <c r="F551" s="389"/>
      <c r="G551" s="244"/>
      <c r="H551" s="244"/>
      <c r="I551" s="244"/>
      <c r="J551" s="244"/>
    </row>
    <row r="552" spans="1:10">
      <c r="A552" s="245"/>
      <c r="D552" s="245"/>
      <c r="F552" s="389"/>
      <c r="G552" s="244"/>
      <c r="H552" s="244"/>
      <c r="I552" s="244"/>
      <c r="J552" s="244"/>
    </row>
    <row r="553" spans="1:10">
      <c r="A553" s="245"/>
      <c r="D553" s="245"/>
      <c r="F553" s="389"/>
      <c r="G553" s="244"/>
      <c r="H553" s="244"/>
      <c r="I553" s="244"/>
      <c r="J553" s="244"/>
    </row>
    <row r="554" spans="1:10">
      <c r="A554" s="245"/>
      <c r="D554" s="245"/>
      <c r="F554" s="389"/>
      <c r="G554" s="244"/>
      <c r="H554" s="244"/>
      <c r="I554" s="244"/>
      <c r="J554" s="244"/>
    </row>
    <row r="555" spans="1:10">
      <c r="A555" s="245"/>
      <c r="D555" s="245"/>
      <c r="F555" s="389"/>
      <c r="G555" s="244"/>
      <c r="H555" s="244"/>
      <c r="I555" s="244"/>
      <c r="J555" s="244"/>
    </row>
    <row r="556" spans="1:10">
      <c r="A556" s="245"/>
      <c r="D556" s="245"/>
      <c r="F556" s="389"/>
      <c r="G556" s="244"/>
      <c r="H556" s="244"/>
      <c r="I556" s="244"/>
      <c r="J556" s="244"/>
    </row>
    <row r="557" spans="1:10">
      <c r="A557" s="245"/>
      <c r="D557" s="245"/>
      <c r="F557" s="389"/>
      <c r="G557" s="244"/>
      <c r="H557" s="244"/>
      <c r="I557" s="244"/>
      <c r="J557" s="244"/>
    </row>
    <row r="558" spans="1:10">
      <c r="A558" s="245"/>
      <c r="D558" s="245"/>
      <c r="F558" s="389"/>
      <c r="G558" s="244"/>
      <c r="H558" s="244"/>
      <c r="I558" s="244"/>
      <c r="J558" s="244"/>
    </row>
    <row r="559" spans="1:10">
      <c r="A559" s="245"/>
      <c r="D559" s="245"/>
      <c r="F559" s="389"/>
      <c r="G559" s="244"/>
      <c r="H559" s="244"/>
      <c r="I559" s="244"/>
      <c r="J559" s="244"/>
    </row>
    <row r="560" spans="1:10">
      <c r="A560" s="245"/>
      <c r="D560" s="245"/>
      <c r="F560" s="389"/>
      <c r="G560" s="244"/>
      <c r="H560" s="244"/>
      <c r="I560" s="244"/>
      <c r="J560" s="244"/>
    </row>
    <row r="561" spans="1:10">
      <c r="A561" s="245"/>
      <c r="D561" s="245"/>
      <c r="F561" s="389"/>
      <c r="G561" s="244"/>
      <c r="H561" s="244"/>
      <c r="I561" s="244"/>
      <c r="J561" s="244"/>
    </row>
    <row r="562" spans="1:10">
      <c r="A562" s="245"/>
      <c r="D562" s="245"/>
      <c r="F562" s="389"/>
      <c r="G562" s="244"/>
      <c r="H562" s="244"/>
      <c r="I562" s="244"/>
      <c r="J562" s="244"/>
    </row>
    <row r="563" spans="1:10">
      <c r="A563" s="245"/>
      <c r="D563" s="245"/>
      <c r="F563" s="389"/>
      <c r="G563" s="244"/>
      <c r="H563" s="244"/>
      <c r="I563" s="244"/>
      <c r="J563" s="244"/>
    </row>
    <row r="564" spans="1:10">
      <c r="A564" s="245"/>
      <c r="D564" s="245"/>
      <c r="F564" s="389"/>
      <c r="G564" s="244"/>
      <c r="H564" s="244"/>
      <c r="I564" s="244"/>
      <c r="J564" s="244"/>
    </row>
    <row r="565" spans="1:10">
      <c r="A565" s="245"/>
      <c r="D565" s="245"/>
      <c r="F565" s="389"/>
      <c r="G565" s="244"/>
      <c r="H565" s="244"/>
      <c r="I565" s="244"/>
      <c r="J565" s="244"/>
    </row>
    <row r="566" spans="1:10">
      <c r="A566" s="245"/>
      <c r="D566" s="245"/>
      <c r="F566" s="389"/>
      <c r="G566" s="244"/>
      <c r="H566" s="244"/>
      <c r="I566" s="244"/>
      <c r="J566" s="244"/>
    </row>
    <row r="567" spans="1:10">
      <c r="A567" s="245"/>
      <c r="D567" s="245"/>
      <c r="F567" s="389"/>
      <c r="G567" s="244"/>
      <c r="H567" s="244"/>
      <c r="I567" s="244"/>
      <c r="J567" s="244"/>
    </row>
    <row r="568" spans="1:10">
      <c r="A568" s="245"/>
      <c r="D568" s="245"/>
      <c r="F568" s="389"/>
      <c r="G568" s="244"/>
      <c r="H568" s="244"/>
      <c r="I568" s="244"/>
      <c r="J568" s="244"/>
    </row>
    <row r="569" spans="1:10">
      <c r="A569" s="245"/>
      <c r="D569" s="245"/>
      <c r="F569" s="389"/>
      <c r="G569" s="244"/>
      <c r="H569" s="244"/>
      <c r="I569" s="244"/>
      <c r="J569" s="244"/>
    </row>
    <row r="570" spans="1:10">
      <c r="A570" s="245"/>
      <c r="D570" s="245"/>
      <c r="F570" s="389"/>
      <c r="G570" s="244"/>
      <c r="H570" s="244"/>
      <c r="I570" s="244"/>
      <c r="J570" s="244"/>
    </row>
    <row r="571" spans="1:10">
      <c r="A571" s="245"/>
      <c r="D571" s="245"/>
      <c r="F571" s="389"/>
      <c r="G571" s="244"/>
      <c r="H571" s="244"/>
      <c r="I571" s="244"/>
      <c r="J571" s="244"/>
    </row>
    <row r="572" spans="1:10">
      <c r="A572" s="245"/>
      <c r="D572" s="245"/>
      <c r="F572" s="389"/>
      <c r="G572" s="244"/>
      <c r="H572" s="244"/>
      <c r="I572" s="244"/>
      <c r="J572" s="244"/>
    </row>
    <row r="573" spans="1:10">
      <c r="A573" s="245"/>
      <c r="D573" s="245"/>
      <c r="F573" s="389"/>
      <c r="G573" s="244"/>
      <c r="H573" s="244"/>
      <c r="I573" s="244"/>
      <c r="J573" s="244"/>
    </row>
    <row r="574" spans="1:10">
      <c r="A574" s="245"/>
      <c r="D574" s="245"/>
      <c r="F574" s="389"/>
      <c r="G574" s="244"/>
      <c r="H574" s="244"/>
      <c r="I574" s="244"/>
      <c r="J574" s="244"/>
    </row>
    <row r="575" spans="1:10">
      <c r="A575" s="245"/>
      <c r="D575" s="245"/>
      <c r="F575" s="389"/>
      <c r="G575" s="244"/>
      <c r="H575" s="244"/>
      <c r="I575" s="244"/>
      <c r="J575" s="244"/>
    </row>
    <row r="576" spans="1:10">
      <c r="A576" s="245"/>
      <c r="D576" s="245"/>
      <c r="F576" s="389"/>
      <c r="G576" s="244"/>
      <c r="H576" s="244"/>
      <c r="I576" s="244"/>
      <c r="J576" s="244"/>
    </row>
    <row r="577" spans="1:10">
      <c r="A577" s="245"/>
      <c r="D577" s="245"/>
      <c r="F577" s="389"/>
      <c r="G577" s="244"/>
      <c r="H577" s="244"/>
      <c r="I577" s="244"/>
      <c r="J577" s="244"/>
    </row>
    <row r="578" spans="1:10">
      <c r="A578" s="245"/>
      <c r="D578" s="245"/>
      <c r="F578" s="389"/>
      <c r="G578" s="244"/>
      <c r="H578" s="244"/>
      <c r="I578" s="244"/>
      <c r="J578" s="244"/>
    </row>
    <row r="579" spans="1:10">
      <c r="A579" s="245"/>
      <c r="D579" s="245"/>
      <c r="F579" s="389"/>
      <c r="G579" s="244"/>
      <c r="H579" s="244"/>
      <c r="I579" s="244"/>
      <c r="J579" s="244"/>
    </row>
    <row r="580" spans="1:10">
      <c r="A580" s="245"/>
      <c r="D580" s="245"/>
      <c r="F580" s="389"/>
      <c r="G580" s="244"/>
      <c r="H580" s="244"/>
      <c r="I580" s="244"/>
      <c r="J580" s="244"/>
    </row>
    <row r="581" spans="1:10">
      <c r="A581" s="245"/>
      <c r="D581" s="245"/>
      <c r="F581" s="389"/>
      <c r="G581" s="244"/>
      <c r="H581" s="244"/>
      <c r="I581" s="244"/>
      <c r="J581" s="244"/>
    </row>
    <row r="582" spans="1:10">
      <c r="A582" s="245"/>
      <c r="D582" s="245"/>
      <c r="F582" s="389"/>
      <c r="G582" s="244"/>
      <c r="H582" s="244"/>
      <c r="I582" s="244"/>
      <c r="J582" s="244"/>
    </row>
    <row r="583" spans="1:10">
      <c r="A583" s="245"/>
      <c r="D583" s="245"/>
      <c r="F583" s="389"/>
      <c r="G583" s="244"/>
      <c r="H583" s="244"/>
      <c r="I583" s="244"/>
      <c r="J583" s="244"/>
    </row>
    <row r="584" spans="1:10">
      <c r="A584" s="245"/>
      <c r="D584" s="245"/>
      <c r="F584" s="389"/>
      <c r="G584" s="244"/>
      <c r="H584" s="244"/>
      <c r="I584" s="244"/>
      <c r="J584" s="244"/>
    </row>
    <row r="585" spans="1:10">
      <c r="A585" s="245"/>
      <c r="D585" s="245"/>
      <c r="F585" s="389"/>
      <c r="G585" s="244"/>
      <c r="H585" s="244"/>
      <c r="I585" s="244"/>
      <c r="J585" s="244"/>
    </row>
    <row r="586" spans="1:10">
      <c r="A586" s="245"/>
      <c r="D586" s="245"/>
      <c r="F586" s="389"/>
      <c r="G586" s="244"/>
      <c r="H586" s="244"/>
      <c r="I586" s="244"/>
      <c r="J586" s="244"/>
    </row>
    <row r="587" spans="1:10">
      <c r="A587" s="245"/>
      <c r="D587" s="245"/>
      <c r="F587" s="389"/>
      <c r="G587" s="244"/>
      <c r="H587" s="244"/>
      <c r="I587" s="244"/>
      <c r="J587" s="244"/>
    </row>
    <row r="588" spans="1:10">
      <c r="A588" s="245"/>
      <c r="D588" s="245"/>
      <c r="F588" s="389"/>
      <c r="G588" s="244"/>
      <c r="H588" s="244"/>
      <c r="I588" s="244"/>
      <c r="J588" s="244"/>
    </row>
    <row r="589" spans="1:10">
      <c r="A589" s="245"/>
      <c r="D589" s="245"/>
      <c r="F589" s="389"/>
      <c r="G589" s="244"/>
      <c r="H589" s="244"/>
      <c r="I589" s="244"/>
      <c r="J589" s="244"/>
    </row>
    <row r="590" spans="1:10">
      <c r="A590" s="245"/>
      <c r="D590" s="245"/>
      <c r="F590" s="389"/>
      <c r="G590" s="244"/>
      <c r="H590" s="244"/>
      <c r="I590" s="244"/>
      <c r="J590" s="244"/>
    </row>
    <row r="591" spans="1:10">
      <c r="A591" s="245"/>
      <c r="D591" s="245"/>
      <c r="F591" s="389"/>
      <c r="G591" s="244"/>
      <c r="H591" s="244"/>
      <c r="I591" s="244"/>
      <c r="J591" s="244"/>
    </row>
    <row r="592" spans="1:10">
      <c r="A592" s="245"/>
      <c r="D592" s="245"/>
      <c r="F592" s="389"/>
      <c r="G592" s="244"/>
      <c r="H592" s="244"/>
      <c r="I592" s="244"/>
      <c r="J592" s="244"/>
    </row>
    <row r="593" spans="1:10">
      <c r="A593" s="245"/>
      <c r="D593" s="245"/>
      <c r="F593" s="389"/>
      <c r="G593" s="244"/>
      <c r="H593" s="244"/>
      <c r="I593" s="244"/>
      <c r="J593" s="244"/>
    </row>
    <row r="594" spans="1:10">
      <c r="A594" s="245"/>
      <c r="D594" s="245"/>
      <c r="F594" s="389"/>
      <c r="G594" s="244"/>
      <c r="H594" s="244"/>
      <c r="I594" s="244"/>
      <c r="J594" s="244"/>
    </row>
    <row r="595" spans="1:10">
      <c r="A595" s="245"/>
      <c r="D595" s="245"/>
      <c r="F595" s="389"/>
      <c r="G595" s="244"/>
      <c r="H595" s="244"/>
      <c r="I595" s="244"/>
      <c r="J595" s="244"/>
    </row>
    <row r="596" spans="1:10">
      <c r="A596" s="245"/>
      <c r="D596" s="245"/>
      <c r="F596" s="389"/>
      <c r="G596" s="244"/>
      <c r="H596" s="244"/>
      <c r="I596" s="244"/>
      <c r="J596" s="244"/>
    </row>
    <row r="597" spans="1:10">
      <c r="A597" s="245"/>
      <c r="D597" s="245"/>
      <c r="F597" s="389"/>
      <c r="G597" s="244"/>
      <c r="H597" s="244"/>
      <c r="I597" s="244"/>
      <c r="J597" s="244"/>
    </row>
    <row r="598" spans="1:10">
      <c r="A598" s="245"/>
      <c r="D598" s="245"/>
      <c r="F598" s="389"/>
      <c r="G598" s="244"/>
      <c r="H598" s="244"/>
      <c r="I598" s="244"/>
      <c r="J598" s="244"/>
    </row>
    <row r="599" spans="1:10">
      <c r="A599" s="245"/>
      <c r="D599" s="245"/>
      <c r="F599" s="389"/>
      <c r="G599" s="244"/>
      <c r="H599" s="244"/>
      <c r="I599" s="244"/>
      <c r="J599" s="244"/>
    </row>
    <row r="600" spans="1:10">
      <c r="A600" s="245"/>
      <c r="D600" s="245"/>
      <c r="F600" s="389"/>
      <c r="G600" s="244"/>
      <c r="H600" s="244"/>
      <c r="I600" s="244"/>
      <c r="J600" s="244"/>
    </row>
    <row r="601" spans="1:10">
      <c r="A601" s="245"/>
      <c r="D601" s="245"/>
      <c r="F601" s="389"/>
      <c r="G601" s="244"/>
      <c r="H601" s="244"/>
      <c r="I601" s="244"/>
      <c r="J601" s="244"/>
    </row>
    <row r="602" spans="1:10">
      <c r="A602" s="245"/>
      <c r="D602" s="245"/>
      <c r="F602" s="389"/>
      <c r="G602" s="244"/>
      <c r="H602" s="244"/>
      <c r="I602" s="244"/>
      <c r="J602" s="244"/>
    </row>
    <row r="603" spans="1:10">
      <c r="A603" s="245"/>
      <c r="D603" s="245"/>
      <c r="F603" s="389"/>
      <c r="G603" s="244"/>
      <c r="H603" s="244"/>
      <c r="I603" s="244"/>
      <c r="J603" s="244"/>
    </row>
    <row r="604" spans="1:10">
      <c r="A604" s="245"/>
      <c r="D604" s="245"/>
      <c r="F604" s="389"/>
      <c r="G604" s="244"/>
      <c r="H604" s="244"/>
      <c r="I604" s="244"/>
      <c r="J604" s="244"/>
    </row>
    <row r="605" spans="1:10">
      <c r="A605" s="245"/>
      <c r="D605" s="245"/>
      <c r="F605" s="389"/>
      <c r="G605" s="244"/>
      <c r="H605" s="244"/>
      <c r="I605" s="244"/>
      <c r="J605" s="244"/>
    </row>
    <row r="606" spans="1:10">
      <c r="A606" s="245"/>
      <c r="D606" s="245"/>
      <c r="F606" s="389"/>
      <c r="G606" s="244"/>
      <c r="H606" s="244"/>
      <c r="I606" s="244"/>
      <c r="J606" s="244"/>
    </row>
    <row r="607" spans="1:10">
      <c r="A607" s="245"/>
      <c r="D607" s="245"/>
      <c r="F607" s="389"/>
      <c r="G607" s="244"/>
      <c r="H607" s="244"/>
      <c r="I607" s="244"/>
      <c r="J607" s="244"/>
    </row>
    <row r="608" spans="1:10">
      <c r="A608" s="245"/>
      <c r="D608" s="245"/>
      <c r="F608" s="389"/>
      <c r="G608" s="244"/>
      <c r="H608" s="244"/>
      <c r="I608" s="244"/>
      <c r="J608" s="244"/>
    </row>
    <row r="609" spans="1:10">
      <c r="A609" s="245"/>
      <c r="D609" s="245"/>
      <c r="F609" s="389"/>
      <c r="G609" s="244"/>
      <c r="H609" s="244"/>
      <c r="I609" s="244"/>
      <c r="J609" s="244"/>
    </row>
    <row r="610" spans="1:10">
      <c r="A610" s="245"/>
      <c r="D610" s="245"/>
      <c r="F610" s="389"/>
      <c r="G610" s="244"/>
      <c r="H610" s="244"/>
      <c r="I610" s="244"/>
      <c r="J610" s="244"/>
    </row>
    <row r="611" spans="1:10">
      <c r="A611" s="245"/>
      <c r="D611" s="245"/>
      <c r="F611" s="389"/>
      <c r="G611" s="244"/>
      <c r="H611" s="244"/>
      <c r="I611" s="244"/>
      <c r="J611" s="244"/>
    </row>
    <row r="612" spans="1:10">
      <c r="A612" s="245"/>
      <c r="D612" s="245"/>
      <c r="F612" s="389"/>
      <c r="G612" s="244"/>
      <c r="H612" s="244"/>
      <c r="I612" s="244"/>
      <c r="J612" s="244"/>
    </row>
    <row r="613" spans="1:10">
      <c r="A613" s="245"/>
      <c r="D613" s="245"/>
      <c r="F613" s="389"/>
      <c r="G613" s="244"/>
      <c r="H613" s="244"/>
      <c r="I613" s="244"/>
      <c r="J613" s="244"/>
    </row>
    <row r="614" spans="1:10">
      <c r="A614" s="245"/>
      <c r="D614" s="245"/>
      <c r="F614" s="389"/>
      <c r="G614" s="244"/>
      <c r="H614" s="244"/>
      <c r="I614" s="244"/>
      <c r="J614" s="244"/>
    </row>
    <row r="615" spans="1:10">
      <c r="A615" s="245"/>
      <c r="D615" s="245"/>
      <c r="F615" s="389"/>
      <c r="G615" s="244"/>
      <c r="H615" s="244"/>
      <c r="I615" s="244"/>
      <c r="J615" s="244"/>
    </row>
    <row r="616" spans="1:10">
      <c r="A616" s="245"/>
      <c r="D616" s="245"/>
      <c r="F616" s="389"/>
      <c r="G616" s="244"/>
      <c r="H616" s="244"/>
      <c r="I616" s="244"/>
      <c r="J616" s="244"/>
    </row>
    <row r="617" spans="1:10">
      <c r="A617" s="245"/>
      <c r="D617" s="245"/>
      <c r="F617" s="389"/>
      <c r="G617" s="244"/>
      <c r="H617" s="244"/>
      <c r="I617" s="244"/>
      <c r="J617" s="244"/>
    </row>
    <row r="618" spans="1:10">
      <c r="A618" s="245"/>
      <c r="D618" s="245"/>
      <c r="F618" s="389"/>
      <c r="G618" s="244"/>
      <c r="H618" s="244"/>
      <c r="I618" s="244"/>
      <c r="J618" s="244"/>
    </row>
    <row r="619" spans="1:10">
      <c r="A619" s="245"/>
      <c r="D619" s="245"/>
      <c r="F619" s="389"/>
      <c r="G619" s="244"/>
      <c r="H619" s="244"/>
      <c r="I619" s="244"/>
      <c r="J619" s="244"/>
    </row>
    <row r="620" spans="1:10">
      <c r="A620" s="245"/>
      <c r="D620" s="245"/>
      <c r="F620" s="389"/>
      <c r="G620" s="244"/>
      <c r="H620" s="244"/>
      <c r="I620" s="244"/>
      <c r="J620" s="244"/>
    </row>
    <row r="621" spans="1:10">
      <c r="A621" s="245"/>
      <c r="D621" s="245"/>
      <c r="F621" s="389"/>
      <c r="G621" s="244"/>
      <c r="H621" s="244"/>
      <c r="I621" s="244"/>
      <c r="J621" s="244"/>
    </row>
    <row r="622" spans="1:10">
      <c r="A622" s="245"/>
      <c r="D622" s="245"/>
      <c r="F622" s="389"/>
      <c r="G622" s="244"/>
      <c r="H622" s="244"/>
      <c r="I622" s="244"/>
      <c r="J622" s="244"/>
    </row>
    <row r="623" spans="1:10">
      <c r="A623" s="245"/>
      <c r="D623" s="245"/>
      <c r="F623" s="389"/>
      <c r="G623" s="244"/>
      <c r="H623" s="244"/>
      <c r="I623" s="244"/>
      <c r="J623" s="244"/>
    </row>
    <row r="624" spans="1:10">
      <c r="A624" s="245"/>
      <c r="D624" s="245"/>
      <c r="F624" s="389"/>
      <c r="G624" s="244"/>
      <c r="H624" s="244"/>
      <c r="I624" s="244"/>
      <c r="J624" s="244"/>
    </row>
    <row r="625" spans="1:10">
      <c r="A625" s="245"/>
      <c r="D625" s="245"/>
      <c r="F625" s="389"/>
      <c r="G625" s="244"/>
      <c r="H625" s="244"/>
      <c r="I625" s="244"/>
      <c r="J625" s="244"/>
    </row>
    <row r="626" spans="1:10">
      <c r="A626" s="245"/>
      <c r="D626" s="245"/>
      <c r="F626" s="389"/>
      <c r="G626" s="244"/>
      <c r="H626" s="244"/>
      <c r="I626" s="244"/>
      <c r="J626" s="244"/>
    </row>
    <row r="627" spans="1:10">
      <c r="A627" s="245"/>
      <c r="D627" s="245"/>
      <c r="F627" s="389"/>
      <c r="G627" s="244"/>
      <c r="H627" s="244"/>
      <c r="I627" s="244"/>
      <c r="J627" s="244"/>
    </row>
    <row r="628" spans="1:10">
      <c r="A628" s="245"/>
      <c r="D628" s="245"/>
      <c r="F628" s="389"/>
      <c r="G628" s="244"/>
      <c r="H628" s="244"/>
      <c r="I628" s="244"/>
      <c r="J628" s="244"/>
    </row>
    <row r="629" spans="1:10">
      <c r="A629" s="245"/>
      <c r="D629" s="245"/>
      <c r="F629" s="389"/>
      <c r="G629" s="244"/>
      <c r="H629" s="244"/>
      <c r="I629" s="244"/>
      <c r="J629" s="244"/>
    </row>
    <row r="630" spans="1:10">
      <c r="A630" s="245"/>
      <c r="D630" s="245"/>
      <c r="F630" s="389"/>
      <c r="G630" s="244"/>
      <c r="H630" s="244"/>
      <c r="I630" s="244"/>
      <c r="J630" s="244"/>
    </row>
    <row r="631" spans="1:10">
      <c r="A631" s="245"/>
      <c r="D631" s="245"/>
      <c r="F631" s="389"/>
      <c r="G631" s="244"/>
      <c r="H631" s="244"/>
      <c r="I631" s="244"/>
      <c r="J631" s="244"/>
    </row>
    <row r="632" spans="1:10">
      <c r="A632" s="245"/>
      <c r="D632" s="245"/>
      <c r="F632" s="389"/>
      <c r="G632" s="244"/>
      <c r="H632" s="244"/>
      <c r="I632" s="244"/>
      <c r="J632" s="244"/>
    </row>
    <row r="633" spans="1:10">
      <c r="A633" s="245"/>
      <c r="D633" s="245"/>
      <c r="F633" s="389"/>
      <c r="G633" s="244"/>
      <c r="H633" s="244"/>
      <c r="I633" s="244"/>
      <c r="J633" s="244"/>
    </row>
    <row r="634" spans="1:10">
      <c r="A634" s="245"/>
      <c r="D634" s="245"/>
      <c r="F634" s="389"/>
      <c r="G634" s="244"/>
      <c r="H634" s="244"/>
      <c r="I634" s="244"/>
      <c r="J634" s="244"/>
    </row>
    <row r="635" spans="1:10">
      <c r="A635" s="245"/>
      <c r="D635" s="245"/>
      <c r="F635" s="389"/>
      <c r="G635" s="244"/>
      <c r="H635" s="244"/>
      <c r="I635" s="244"/>
      <c r="J635" s="244"/>
    </row>
    <row r="636" spans="1:10">
      <c r="A636" s="245"/>
      <c r="D636" s="245"/>
      <c r="F636" s="389"/>
      <c r="G636" s="244"/>
      <c r="H636" s="244"/>
      <c r="I636" s="244"/>
      <c r="J636" s="244"/>
    </row>
    <row r="637" spans="1:10">
      <c r="A637" s="245"/>
      <c r="D637" s="245"/>
      <c r="F637" s="389"/>
      <c r="G637" s="244"/>
      <c r="H637" s="244"/>
      <c r="I637" s="244"/>
      <c r="J637" s="244"/>
    </row>
    <row r="638" spans="1:10">
      <c r="A638" s="245"/>
      <c r="D638" s="245"/>
      <c r="F638" s="389"/>
      <c r="G638" s="244"/>
      <c r="H638" s="244"/>
      <c r="I638" s="244"/>
      <c r="J638" s="244"/>
    </row>
    <row r="639" spans="1:10">
      <c r="A639" s="245"/>
      <c r="D639" s="245"/>
      <c r="F639" s="389"/>
      <c r="G639" s="244"/>
      <c r="H639" s="244"/>
      <c r="I639" s="244"/>
      <c r="J639" s="244"/>
    </row>
    <row r="640" spans="1:10">
      <c r="A640" s="245"/>
      <c r="D640" s="245"/>
      <c r="F640" s="389"/>
      <c r="G640" s="244"/>
      <c r="H640" s="244"/>
      <c r="I640" s="244"/>
      <c r="J640" s="244"/>
    </row>
    <row r="641" spans="1:10">
      <c r="A641" s="245"/>
      <c r="D641" s="245"/>
      <c r="F641" s="389"/>
      <c r="G641" s="244"/>
      <c r="H641" s="244"/>
      <c r="I641" s="244"/>
      <c r="J641" s="244"/>
    </row>
    <row r="642" spans="1:10">
      <c r="A642" s="245"/>
      <c r="D642" s="245"/>
      <c r="F642" s="389"/>
      <c r="G642" s="244"/>
      <c r="H642" s="244"/>
      <c r="I642" s="244"/>
      <c r="J642" s="244"/>
    </row>
    <row r="643" spans="1:10">
      <c r="A643" s="245"/>
      <c r="D643" s="245"/>
      <c r="F643" s="389"/>
      <c r="G643" s="244"/>
      <c r="H643" s="244"/>
      <c r="I643" s="244"/>
      <c r="J643" s="244"/>
    </row>
    <row r="644" spans="1:10">
      <c r="A644" s="245"/>
      <c r="D644" s="245"/>
      <c r="F644" s="389"/>
      <c r="G644" s="244"/>
      <c r="H644" s="244"/>
      <c r="I644" s="244"/>
      <c r="J644" s="244"/>
    </row>
    <row r="645" spans="1:10">
      <c r="A645" s="245"/>
      <c r="D645" s="245"/>
      <c r="F645" s="389"/>
      <c r="G645" s="244"/>
      <c r="H645" s="244"/>
      <c r="I645" s="244"/>
      <c r="J645" s="244"/>
    </row>
    <row r="646" spans="1:10">
      <c r="A646" s="245"/>
      <c r="D646" s="245"/>
      <c r="F646" s="389"/>
      <c r="G646" s="244"/>
      <c r="H646" s="244"/>
      <c r="I646" s="244"/>
      <c r="J646" s="244"/>
    </row>
    <row r="647" spans="1:10">
      <c r="A647" s="245"/>
      <c r="D647" s="245"/>
      <c r="F647" s="389"/>
      <c r="G647" s="244"/>
      <c r="H647" s="244"/>
      <c r="I647" s="244"/>
      <c r="J647" s="244"/>
    </row>
    <row r="648" spans="1:10">
      <c r="A648" s="245"/>
      <c r="D648" s="245"/>
      <c r="F648" s="389"/>
      <c r="G648" s="244"/>
      <c r="H648" s="244"/>
      <c r="I648" s="244"/>
      <c r="J648" s="244"/>
    </row>
    <row r="649" spans="1:10">
      <c r="A649" s="245"/>
      <c r="D649" s="245"/>
      <c r="F649" s="389"/>
      <c r="G649" s="244"/>
      <c r="H649" s="244"/>
      <c r="I649" s="244"/>
      <c r="J649" s="244"/>
    </row>
    <row r="650" spans="1:10">
      <c r="A650" s="245"/>
      <c r="D650" s="245"/>
      <c r="F650" s="389"/>
      <c r="G650" s="244"/>
      <c r="H650" s="244"/>
      <c r="I650" s="244"/>
      <c r="J650" s="244"/>
    </row>
    <row r="651" spans="1:10">
      <c r="A651" s="245"/>
      <c r="D651" s="245"/>
      <c r="F651" s="389"/>
      <c r="G651" s="244"/>
      <c r="H651" s="244"/>
      <c r="I651" s="244"/>
      <c r="J651" s="244"/>
    </row>
    <row r="652" spans="1:10">
      <c r="A652" s="245"/>
      <c r="D652" s="245"/>
      <c r="F652" s="389"/>
      <c r="G652" s="244"/>
      <c r="H652" s="244"/>
      <c r="I652" s="244"/>
      <c r="J652" s="244"/>
    </row>
    <row r="653" spans="1:10">
      <c r="A653" s="245"/>
      <c r="D653" s="245"/>
      <c r="F653" s="389"/>
      <c r="G653" s="244"/>
      <c r="H653" s="244"/>
      <c r="I653" s="244"/>
      <c r="J653" s="244"/>
    </row>
    <row r="654" spans="1:10">
      <c r="A654" s="245"/>
      <c r="D654" s="245"/>
      <c r="F654" s="389"/>
      <c r="G654" s="244"/>
      <c r="H654" s="244"/>
      <c r="I654" s="244"/>
      <c r="J654" s="244"/>
    </row>
    <row r="655" spans="1:10">
      <c r="A655" s="245"/>
      <c r="D655" s="245"/>
      <c r="F655" s="389"/>
      <c r="G655" s="244"/>
      <c r="H655" s="244"/>
      <c r="I655" s="244"/>
      <c r="J655" s="244"/>
    </row>
    <row r="656" spans="1:10">
      <c r="A656" s="245"/>
      <c r="D656" s="245"/>
      <c r="F656" s="389"/>
      <c r="G656" s="244"/>
      <c r="H656" s="244"/>
      <c r="I656" s="244"/>
      <c r="J656" s="244"/>
    </row>
    <row r="657" spans="1:10">
      <c r="A657" s="245"/>
      <c r="D657" s="245"/>
      <c r="F657" s="389"/>
      <c r="G657" s="244"/>
      <c r="H657" s="244"/>
      <c r="I657" s="244"/>
      <c r="J657" s="244"/>
    </row>
    <row r="658" spans="1:10">
      <c r="A658" s="245"/>
      <c r="D658" s="245"/>
      <c r="F658" s="389"/>
      <c r="G658" s="244"/>
      <c r="H658" s="244"/>
      <c r="I658" s="244"/>
      <c r="J658" s="244"/>
    </row>
    <row r="659" spans="1:10">
      <c r="A659" s="245"/>
      <c r="D659" s="245"/>
      <c r="F659" s="389"/>
      <c r="G659" s="244"/>
      <c r="H659" s="244"/>
      <c r="I659" s="244"/>
      <c r="J659" s="244"/>
    </row>
    <row r="660" spans="1:10">
      <c r="A660" s="245"/>
      <c r="D660" s="245"/>
      <c r="F660" s="389"/>
      <c r="G660" s="244"/>
      <c r="H660" s="244"/>
      <c r="I660" s="244"/>
      <c r="J660" s="244"/>
    </row>
    <row r="661" spans="1:10">
      <c r="A661" s="245"/>
      <c r="D661" s="245"/>
      <c r="F661" s="389"/>
      <c r="G661" s="244"/>
      <c r="H661" s="244"/>
      <c r="I661" s="244"/>
      <c r="J661" s="244"/>
    </row>
    <row r="662" spans="1:10">
      <c r="A662" s="245"/>
      <c r="D662" s="245"/>
      <c r="F662" s="389"/>
      <c r="G662" s="244"/>
      <c r="H662" s="244"/>
      <c r="I662" s="244"/>
      <c r="J662" s="244"/>
    </row>
    <row r="663" spans="1:10">
      <c r="A663" s="245"/>
      <c r="D663" s="245"/>
      <c r="F663" s="389"/>
      <c r="G663" s="244"/>
      <c r="H663" s="244"/>
      <c r="I663" s="244"/>
      <c r="J663" s="244"/>
    </row>
    <row r="664" spans="1:10">
      <c r="A664" s="245"/>
      <c r="D664" s="245"/>
      <c r="F664" s="389"/>
      <c r="G664" s="244"/>
      <c r="H664" s="244"/>
      <c r="I664" s="244"/>
      <c r="J664" s="244"/>
    </row>
    <row r="665" spans="1:10">
      <c r="A665" s="245"/>
      <c r="D665" s="245"/>
      <c r="F665" s="389"/>
      <c r="G665" s="244"/>
      <c r="H665" s="244"/>
      <c r="I665" s="244"/>
      <c r="J665" s="244"/>
    </row>
    <row r="666" spans="1:10">
      <c r="A666" s="245"/>
      <c r="D666" s="245"/>
      <c r="F666" s="389"/>
      <c r="G666" s="244"/>
      <c r="H666" s="244"/>
      <c r="I666" s="244"/>
      <c r="J666" s="244"/>
    </row>
    <row r="667" spans="1:10">
      <c r="A667" s="245"/>
      <c r="D667" s="245"/>
      <c r="F667" s="389"/>
      <c r="G667" s="244"/>
      <c r="H667" s="244"/>
      <c r="I667" s="244"/>
      <c r="J667" s="244"/>
    </row>
    <row r="668" spans="1:10">
      <c r="A668" s="245"/>
      <c r="D668" s="245"/>
      <c r="F668" s="389"/>
      <c r="G668" s="244"/>
      <c r="H668" s="244"/>
      <c r="I668" s="244"/>
      <c r="J668" s="244"/>
    </row>
    <row r="669" spans="1:10">
      <c r="A669" s="245"/>
      <c r="D669" s="245"/>
      <c r="F669" s="389"/>
      <c r="G669" s="244"/>
      <c r="H669" s="244"/>
      <c r="I669" s="244"/>
      <c r="J669" s="244"/>
    </row>
    <row r="670" spans="1:10">
      <c r="A670" s="245"/>
      <c r="D670" s="245"/>
      <c r="F670" s="389"/>
      <c r="G670" s="244"/>
      <c r="H670" s="244"/>
      <c r="I670" s="244"/>
      <c r="J670" s="244"/>
    </row>
    <row r="671" spans="1:10">
      <c r="A671" s="245"/>
      <c r="D671" s="245"/>
      <c r="F671" s="389"/>
      <c r="G671" s="244"/>
      <c r="H671" s="244"/>
      <c r="I671" s="244"/>
      <c r="J671" s="244"/>
    </row>
    <row r="672" spans="1:10">
      <c r="A672" s="245"/>
      <c r="D672" s="245"/>
      <c r="F672" s="389"/>
      <c r="G672" s="244"/>
      <c r="H672" s="244"/>
      <c r="I672" s="244"/>
      <c r="J672" s="244"/>
    </row>
    <row r="673" spans="1:10">
      <c r="A673" s="245"/>
      <c r="D673" s="245"/>
      <c r="F673" s="389"/>
      <c r="G673" s="244"/>
      <c r="H673" s="244"/>
      <c r="I673" s="244"/>
      <c r="J673" s="244"/>
    </row>
    <row r="674" spans="1:10">
      <c r="A674" s="245"/>
      <c r="D674" s="245"/>
      <c r="F674" s="389"/>
      <c r="G674" s="244"/>
      <c r="H674" s="244"/>
      <c r="I674" s="244"/>
      <c r="J674" s="244"/>
    </row>
    <row r="675" spans="1:10">
      <c r="A675" s="245"/>
      <c r="D675" s="245"/>
      <c r="F675" s="389"/>
      <c r="G675" s="244"/>
      <c r="H675" s="244"/>
      <c r="I675" s="244"/>
      <c r="J675" s="244"/>
    </row>
    <row r="676" spans="1:10">
      <c r="A676" s="245"/>
      <c r="D676" s="245"/>
      <c r="F676" s="389"/>
      <c r="G676" s="244"/>
      <c r="H676" s="244"/>
      <c r="I676" s="244"/>
      <c r="J676" s="244"/>
    </row>
    <row r="677" spans="1:10">
      <c r="A677" s="245"/>
      <c r="D677" s="245"/>
      <c r="F677" s="389"/>
      <c r="G677" s="244"/>
      <c r="H677" s="244"/>
      <c r="I677" s="244"/>
      <c r="J677" s="244"/>
    </row>
    <row r="678" spans="1:10">
      <c r="A678" s="245"/>
      <c r="D678" s="245"/>
      <c r="F678" s="389"/>
      <c r="G678" s="244"/>
      <c r="H678" s="244"/>
      <c r="I678" s="244"/>
      <c r="J678" s="244"/>
    </row>
    <row r="679" spans="1:10">
      <c r="A679" s="245"/>
      <c r="D679" s="245"/>
      <c r="F679" s="389"/>
      <c r="G679" s="244"/>
      <c r="H679" s="244"/>
      <c r="I679" s="244"/>
      <c r="J679" s="244"/>
    </row>
    <row r="680" spans="1:10">
      <c r="A680" s="245"/>
      <c r="D680" s="245"/>
      <c r="F680" s="389"/>
      <c r="G680" s="244"/>
      <c r="H680" s="244"/>
      <c r="I680" s="244"/>
      <c r="J680" s="244"/>
    </row>
    <row r="681" spans="1:10">
      <c r="A681" s="245"/>
      <c r="D681" s="245"/>
      <c r="F681" s="389"/>
      <c r="G681" s="244"/>
      <c r="H681" s="244"/>
      <c r="I681" s="244"/>
      <c r="J681" s="244"/>
    </row>
    <row r="682" spans="1:10">
      <c r="A682" s="245"/>
      <c r="D682" s="245"/>
      <c r="F682" s="389"/>
      <c r="G682" s="244"/>
      <c r="H682" s="244"/>
      <c r="I682" s="244"/>
      <c r="J682" s="244"/>
    </row>
    <row r="683" spans="1:10">
      <c r="A683" s="245"/>
      <c r="D683" s="245"/>
      <c r="F683" s="389"/>
      <c r="G683" s="244"/>
      <c r="H683" s="244"/>
      <c r="I683" s="244"/>
      <c r="J683" s="244"/>
    </row>
    <row r="684" spans="1:10">
      <c r="A684" s="245"/>
      <c r="D684" s="245"/>
      <c r="F684" s="389"/>
      <c r="G684" s="244"/>
      <c r="H684" s="244"/>
      <c r="I684" s="244"/>
      <c r="J684" s="244"/>
    </row>
    <row r="685" spans="1:10">
      <c r="A685" s="245"/>
      <c r="D685" s="245"/>
      <c r="F685" s="389"/>
      <c r="G685" s="244"/>
      <c r="H685" s="244"/>
      <c r="I685" s="244"/>
      <c r="J685" s="244"/>
    </row>
    <row r="686" spans="1:10">
      <c r="A686" s="245"/>
      <c r="D686" s="245"/>
      <c r="F686" s="389"/>
      <c r="G686" s="244"/>
      <c r="H686" s="244"/>
      <c r="I686" s="244"/>
      <c r="J686" s="244"/>
    </row>
    <row r="687" spans="1:10">
      <c r="A687" s="245"/>
      <c r="D687" s="245"/>
      <c r="F687" s="389"/>
      <c r="G687" s="244"/>
      <c r="H687" s="244"/>
      <c r="I687" s="244"/>
      <c r="J687" s="244"/>
    </row>
    <row r="688" spans="1:10">
      <c r="A688" s="245"/>
      <c r="D688" s="245"/>
      <c r="F688" s="389"/>
      <c r="G688" s="244"/>
      <c r="H688" s="244"/>
      <c r="I688" s="244"/>
      <c r="J688" s="244"/>
    </row>
    <row r="689" spans="1:10">
      <c r="A689" s="245"/>
      <c r="D689" s="245"/>
      <c r="F689" s="389"/>
      <c r="G689" s="244"/>
      <c r="H689" s="244"/>
      <c r="I689" s="244"/>
      <c r="J689" s="244"/>
    </row>
    <row r="690" spans="1:10">
      <c r="A690" s="245"/>
      <c r="D690" s="245"/>
      <c r="F690" s="389"/>
      <c r="G690" s="244"/>
      <c r="H690" s="244"/>
      <c r="I690" s="244"/>
      <c r="J690" s="244"/>
    </row>
    <row r="691" spans="1:10">
      <c r="A691" s="245"/>
      <c r="D691" s="245"/>
      <c r="F691" s="389"/>
      <c r="G691" s="244"/>
      <c r="H691" s="244"/>
      <c r="I691" s="244"/>
      <c r="J691" s="244"/>
    </row>
    <row r="692" spans="1:10">
      <c r="A692" s="245"/>
      <c r="D692" s="245"/>
      <c r="F692" s="389"/>
      <c r="G692" s="244"/>
      <c r="H692" s="244"/>
      <c r="I692" s="244"/>
      <c r="J692" s="244"/>
    </row>
    <row r="693" spans="1:10">
      <c r="A693" s="245"/>
      <c r="D693" s="245"/>
      <c r="F693" s="389"/>
      <c r="G693" s="244"/>
      <c r="H693" s="244"/>
      <c r="I693" s="244"/>
      <c r="J693" s="244"/>
    </row>
    <row r="694" spans="1:10">
      <c r="A694" s="245"/>
      <c r="D694" s="245"/>
      <c r="F694" s="389"/>
      <c r="G694" s="244"/>
      <c r="H694" s="244"/>
      <c r="I694" s="244"/>
      <c r="J694" s="244"/>
    </row>
    <row r="695" spans="1:10">
      <c r="A695" s="245"/>
      <c r="D695" s="245"/>
      <c r="F695" s="389"/>
      <c r="G695" s="244"/>
      <c r="H695" s="244"/>
      <c r="I695" s="244"/>
      <c r="J695" s="244"/>
    </row>
    <row r="696" spans="1:10">
      <c r="A696" s="245"/>
      <c r="D696" s="245"/>
      <c r="F696" s="389"/>
      <c r="G696" s="244"/>
      <c r="H696" s="244"/>
      <c r="I696" s="244"/>
      <c r="J696" s="244"/>
    </row>
    <row r="697" spans="1:10">
      <c r="A697" s="245"/>
      <c r="D697" s="245"/>
      <c r="F697" s="389"/>
      <c r="G697" s="244"/>
      <c r="H697" s="244"/>
      <c r="I697" s="244"/>
      <c r="J697" s="244"/>
    </row>
    <row r="698" spans="1:10">
      <c r="A698" s="245"/>
      <c r="D698" s="245"/>
      <c r="F698" s="389"/>
      <c r="G698" s="244"/>
      <c r="H698" s="244"/>
      <c r="I698" s="244"/>
      <c r="J698" s="244"/>
    </row>
    <row r="699" spans="1:10">
      <c r="A699" s="245"/>
      <c r="D699" s="245"/>
      <c r="F699" s="389"/>
      <c r="G699" s="244"/>
      <c r="H699" s="244"/>
      <c r="I699" s="244"/>
      <c r="J699" s="244"/>
    </row>
    <row r="700" spans="1:10">
      <c r="A700" s="245"/>
      <c r="D700" s="245"/>
      <c r="F700" s="389"/>
      <c r="G700" s="244"/>
      <c r="H700" s="244"/>
      <c r="I700" s="244"/>
      <c r="J700" s="244"/>
    </row>
    <row r="701" spans="1:10">
      <c r="A701" s="245"/>
      <c r="D701" s="245"/>
      <c r="F701" s="389"/>
      <c r="G701" s="244"/>
      <c r="H701" s="244"/>
      <c r="I701" s="244"/>
      <c r="J701" s="244"/>
    </row>
    <row r="702" spans="1:10">
      <c r="A702" s="245"/>
      <c r="D702" s="245"/>
      <c r="F702" s="389"/>
      <c r="G702" s="244"/>
      <c r="H702" s="244"/>
      <c r="I702" s="244"/>
      <c r="J702" s="244"/>
    </row>
    <row r="703" spans="1:10">
      <c r="A703" s="245"/>
      <c r="D703" s="245"/>
      <c r="F703" s="389"/>
      <c r="G703" s="244"/>
      <c r="H703" s="244"/>
      <c r="I703" s="244"/>
      <c r="J703" s="244"/>
    </row>
    <row r="704" spans="1:10">
      <c r="A704" s="245"/>
      <c r="D704" s="245"/>
      <c r="F704" s="389"/>
      <c r="G704" s="244"/>
      <c r="H704" s="244"/>
      <c r="I704" s="244"/>
      <c r="J704" s="244"/>
    </row>
    <row r="705" spans="1:10">
      <c r="A705" s="245"/>
      <c r="D705" s="245"/>
      <c r="F705" s="389"/>
      <c r="G705" s="244"/>
      <c r="H705" s="244"/>
      <c r="I705" s="244"/>
      <c r="J705" s="244"/>
    </row>
    <row r="706" spans="1:10">
      <c r="A706" s="245"/>
      <c r="D706" s="245"/>
      <c r="F706" s="389"/>
      <c r="G706" s="244"/>
      <c r="H706" s="244"/>
      <c r="I706" s="244"/>
      <c r="J706" s="244"/>
    </row>
    <row r="707" spans="1:10">
      <c r="A707" s="245"/>
      <c r="D707" s="245"/>
      <c r="F707" s="389"/>
      <c r="G707" s="244"/>
      <c r="H707" s="244"/>
      <c r="I707" s="244"/>
      <c r="J707" s="244"/>
    </row>
    <row r="708" spans="1:10">
      <c r="A708" s="245"/>
      <c r="D708" s="245"/>
      <c r="F708" s="389"/>
      <c r="G708" s="244"/>
      <c r="H708" s="244"/>
      <c r="I708" s="244"/>
      <c r="J708" s="244"/>
    </row>
    <row r="709" spans="1:10">
      <c r="A709" s="245"/>
      <c r="D709" s="245"/>
      <c r="F709" s="389"/>
      <c r="G709" s="244"/>
      <c r="H709" s="244"/>
      <c r="I709" s="244"/>
      <c r="J709" s="244"/>
    </row>
    <row r="710" spans="1:10">
      <c r="A710" s="245"/>
      <c r="D710" s="245"/>
      <c r="F710" s="389"/>
      <c r="G710" s="244"/>
      <c r="H710" s="244"/>
      <c r="I710" s="244"/>
      <c r="J710" s="244"/>
    </row>
    <row r="711" spans="1:10">
      <c r="A711" s="245"/>
      <c r="D711" s="245"/>
      <c r="F711" s="389"/>
      <c r="G711" s="244"/>
      <c r="H711" s="244"/>
      <c r="I711" s="244"/>
      <c r="J711" s="244"/>
    </row>
    <row r="712" spans="1:10">
      <c r="A712" s="245"/>
      <c r="D712" s="245"/>
      <c r="F712" s="389"/>
      <c r="G712" s="244"/>
      <c r="H712" s="244"/>
      <c r="I712" s="244"/>
      <c r="J712" s="244"/>
    </row>
    <row r="713" spans="1:10">
      <c r="A713" s="245"/>
      <c r="D713" s="245"/>
      <c r="F713" s="389"/>
      <c r="G713" s="244"/>
      <c r="H713" s="244"/>
      <c r="I713" s="244"/>
      <c r="J713" s="244"/>
    </row>
    <row r="714" spans="1:10">
      <c r="A714" s="245"/>
      <c r="D714" s="245"/>
      <c r="F714" s="389"/>
      <c r="G714" s="244"/>
      <c r="H714" s="244"/>
      <c r="I714" s="244"/>
      <c r="J714" s="244"/>
    </row>
    <row r="715" spans="1:10">
      <c r="A715" s="245"/>
      <c r="D715" s="245"/>
      <c r="F715" s="389"/>
      <c r="G715" s="244"/>
      <c r="H715" s="244"/>
      <c r="I715" s="244"/>
      <c r="J715" s="244"/>
    </row>
    <row r="716" spans="1:10">
      <c r="A716" s="245"/>
      <c r="D716" s="245"/>
      <c r="F716" s="389"/>
      <c r="G716" s="244"/>
      <c r="H716" s="244"/>
      <c r="I716" s="244"/>
      <c r="J716" s="244"/>
    </row>
    <row r="717" spans="1:10">
      <c r="A717" s="245"/>
      <c r="D717" s="245"/>
      <c r="F717" s="389"/>
      <c r="G717" s="244"/>
      <c r="H717" s="244"/>
      <c r="I717" s="244"/>
      <c r="J717" s="244"/>
    </row>
    <row r="718" spans="1:10">
      <c r="A718" s="245"/>
      <c r="D718" s="245"/>
      <c r="F718" s="389"/>
      <c r="G718" s="244"/>
      <c r="H718" s="244"/>
      <c r="I718" s="244"/>
      <c r="J718" s="244"/>
    </row>
    <row r="719" spans="1:10">
      <c r="A719" s="245"/>
      <c r="D719" s="245"/>
      <c r="F719" s="389"/>
      <c r="G719" s="244"/>
      <c r="H719" s="244"/>
      <c r="I719" s="244"/>
      <c r="J719" s="244"/>
    </row>
    <row r="720" spans="1:10">
      <c r="A720" s="245"/>
      <c r="D720" s="245"/>
      <c r="F720" s="389"/>
      <c r="G720" s="244"/>
      <c r="H720" s="244"/>
      <c r="I720" s="244"/>
      <c r="J720" s="244"/>
    </row>
    <row r="721" spans="1:10">
      <c r="A721" s="245"/>
      <c r="D721" s="245"/>
      <c r="F721" s="389"/>
      <c r="G721" s="244"/>
      <c r="H721" s="244"/>
      <c r="I721" s="244"/>
      <c r="J721" s="244"/>
    </row>
    <row r="722" spans="1:10">
      <c r="A722" s="245"/>
      <c r="D722" s="245"/>
      <c r="F722" s="389"/>
      <c r="G722" s="244"/>
      <c r="H722" s="244"/>
      <c r="I722" s="244"/>
      <c r="J722" s="244"/>
    </row>
    <row r="723" spans="1:10">
      <c r="A723" s="245"/>
      <c r="D723" s="245"/>
      <c r="F723" s="389"/>
      <c r="G723" s="244"/>
      <c r="H723" s="244"/>
      <c r="I723" s="244"/>
      <c r="J723" s="244"/>
    </row>
    <row r="724" spans="1:10">
      <c r="A724" s="245"/>
      <c r="D724" s="245"/>
      <c r="F724" s="389"/>
      <c r="G724" s="244"/>
      <c r="H724" s="244"/>
      <c r="I724" s="244"/>
      <c r="J724" s="244"/>
    </row>
    <row r="725" spans="1:10">
      <c r="A725" s="245"/>
      <c r="D725" s="245"/>
      <c r="F725" s="389"/>
      <c r="G725" s="244"/>
      <c r="H725" s="244"/>
      <c r="I725" s="244"/>
      <c r="J725" s="244"/>
    </row>
    <row r="726" spans="1:10">
      <c r="A726" s="245"/>
      <c r="D726" s="245"/>
      <c r="F726" s="389"/>
      <c r="G726" s="244"/>
      <c r="H726" s="244"/>
      <c r="I726" s="244"/>
      <c r="J726" s="244"/>
    </row>
    <row r="727" spans="1:10">
      <c r="A727" s="245"/>
      <c r="D727" s="245"/>
      <c r="F727" s="389"/>
      <c r="G727" s="244"/>
      <c r="H727" s="244"/>
      <c r="I727" s="244"/>
      <c r="J727" s="244"/>
    </row>
    <row r="728" spans="1:10">
      <c r="A728" s="245"/>
      <c r="D728" s="245"/>
      <c r="F728" s="389"/>
      <c r="G728" s="244"/>
      <c r="H728" s="244"/>
      <c r="I728" s="244"/>
      <c r="J728" s="244"/>
    </row>
    <row r="729" spans="1:10">
      <c r="A729" s="245"/>
      <c r="D729" s="245"/>
      <c r="F729" s="389"/>
      <c r="G729" s="244"/>
      <c r="H729" s="244"/>
      <c r="I729" s="244"/>
      <c r="J729" s="244"/>
    </row>
    <row r="730" spans="1:10">
      <c r="A730" s="245"/>
      <c r="D730" s="245"/>
      <c r="F730" s="389"/>
      <c r="G730" s="244"/>
      <c r="H730" s="244"/>
      <c r="I730" s="244"/>
      <c r="J730" s="244"/>
    </row>
    <row r="731" spans="1:10">
      <c r="A731" s="245"/>
      <c r="D731" s="245"/>
      <c r="F731" s="389"/>
      <c r="G731" s="244"/>
      <c r="H731" s="244"/>
      <c r="I731" s="244"/>
      <c r="J731" s="244"/>
    </row>
    <row r="732" spans="1:10">
      <c r="A732" s="245"/>
      <c r="D732" s="245"/>
      <c r="F732" s="389"/>
      <c r="G732" s="244"/>
      <c r="H732" s="244"/>
      <c r="I732" s="244"/>
      <c r="J732" s="244"/>
    </row>
    <row r="733" spans="1:10">
      <c r="A733" s="245"/>
      <c r="D733" s="245"/>
      <c r="F733" s="389"/>
      <c r="G733" s="244"/>
      <c r="H733" s="244"/>
      <c r="I733" s="244"/>
      <c r="J733" s="244"/>
    </row>
    <row r="734" spans="1:10">
      <c r="A734" s="245"/>
      <c r="D734" s="245"/>
      <c r="F734" s="389"/>
      <c r="G734" s="244"/>
      <c r="H734" s="244"/>
      <c r="I734" s="244"/>
      <c r="J734" s="244"/>
    </row>
    <row r="735" spans="1:10">
      <c r="A735" s="245"/>
      <c r="D735" s="245"/>
      <c r="F735" s="389"/>
      <c r="G735" s="244"/>
      <c r="H735" s="244"/>
      <c r="I735" s="244"/>
      <c r="J735" s="244"/>
    </row>
    <row r="736" spans="1:10">
      <c r="A736" s="245"/>
      <c r="D736" s="245"/>
      <c r="F736" s="389"/>
      <c r="G736" s="244"/>
      <c r="H736" s="244"/>
      <c r="I736" s="244"/>
      <c r="J736" s="244"/>
    </row>
    <row r="737" spans="1:10">
      <c r="A737" s="245"/>
      <c r="D737" s="245"/>
      <c r="F737" s="389"/>
      <c r="G737" s="244"/>
      <c r="H737" s="244"/>
      <c r="I737" s="244"/>
      <c r="J737" s="244"/>
    </row>
    <row r="738" spans="1:10">
      <c r="A738" s="245"/>
      <c r="D738" s="245"/>
      <c r="F738" s="389"/>
      <c r="G738" s="244"/>
      <c r="H738" s="244"/>
      <c r="I738" s="244"/>
      <c r="J738" s="244"/>
    </row>
    <row r="739" spans="1:10">
      <c r="A739" s="245"/>
      <c r="D739" s="245"/>
      <c r="F739" s="389"/>
      <c r="G739" s="244"/>
      <c r="H739" s="244"/>
      <c r="I739" s="244"/>
      <c r="J739" s="244"/>
    </row>
    <row r="740" spans="1:10">
      <c r="A740" s="245"/>
      <c r="D740" s="245"/>
      <c r="F740" s="389"/>
      <c r="G740" s="244"/>
      <c r="H740" s="244"/>
      <c r="I740" s="244"/>
      <c r="J740" s="244"/>
    </row>
    <row r="741" spans="1:10">
      <c r="A741" s="245"/>
      <c r="D741" s="245"/>
      <c r="F741" s="389"/>
      <c r="G741" s="244"/>
      <c r="H741" s="244"/>
      <c r="I741" s="244"/>
      <c r="J741" s="244"/>
    </row>
    <row r="742" spans="1:10">
      <c r="A742" s="245"/>
      <c r="D742" s="245"/>
      <c r="F742" s="389"/>
      <c r="G742" s="244"/>
      <c r="H742" s="244"/>
      <c r="I742" s="244"/>
      <c r="J742" s="244"/>
    </row>
    <row r="743" spans="1:10">
      <c r="A743" s="245"/>
      <c r="D743" s="245"/>
      <c r="F743" s="389"/>
      <c r="G743" s="244"/>
      <c r="H743" s="244"/>
      <c r="I743" s="244"/>
      <c r="J743" s="244"/>
    </row>
    <row r="744" spans="1:10">
      <c r="A744" s="245"/>
      <c r="D744" s="245"/>
      <c r="F744" s="389"/>
      <c r="G744" s="244"/>
      <c r="H744" s="244"/>
      <c r="I744" s="244"/>
      <c r="J744" s="244"/>
    </row>
    <row r="745" spans="1:10">
      <c r="A745" s="245"/>
      <c r="D745" s="245"/>
      <c r="F745" s="389"/>
      <c r="G745" s="244"/>
      <c r="H745" s="244"/>
      <c r="I745" s="244"/>
      <c r="J745" s="244"/>
    </row>
    <row r="746" spans="1:10">
      <c r="A746" s="245"/>
      <c r="D746" s="245"/>
      <c r="F746" s="389"/>
      <c r="G746" s="244"/>
      <c r="H746" s="244"/>
      <c r="I746" s="244"/>
      <c r="J746" s="244"/>
    </row>
    <row r="747" spans="1:10">
      <c r="A747" s="245"/>
      <c r="D747" s="245"/>
      <c r="F747" s="389"/>
      <c r="G747" s="244"/>
      <c r="H747" s="244"/>
      <c r="I747" s="244"/>
      <c r="J747" s="244"/>
    </row>
    <row r="748" spans="1:10">
      <c r="A748" s="245"/>
      <c r="D748" s="245"/>
      <c r="F748" s="389"/>
      <c r="G748" s="244"/>
      <c r="H748" s="244"/>
      <c r="I748" s="244"/>
      <c r="J748" s="244"/>
    </row>
    <row r="749" spans="1:10">
      <c r="A749" s="245"/>
      <c r="D749" s="245"/>
      <c r="F749" s="389"/>
      <c r="G749" s="244"/>
      <c r="H749" s="244"/>
      <c r="I749" s="244"/>
      <c r="J749" s="244"/>
    </row>
    <row r="750" spans="1:10">
      <c r="A750" s="245"/>
      <c r="D750" s="245"/>
      <c r="F750" s="389"/>
      <c r="G750" s="244"/>
      <c r="H750" s="244"/>
      <c r="I750" s="244"/>
      <c r="J750" s="244"/>
    </row>
    <row r="751" spans="1:10">
      <c r="A751" s="245"/>
      <c r="D751" s="245"/>
      <c r="F751" s="389"/>
      <c r="G751" s="244"/>
      <c r="H751" s="244"/>
      <c r="I751" s="244"/>
      <c r="J751" s="244"/>
    </row>
    <row r="752" spans="1:10">
      <c r="A752" s="245"/>
      <c r="D752" s="245"/>
      <c r="F752" s="389"/>
      <c r="G752" s="244"/>
      <c r="H752" s="244"/>
      <c r="I752" s="244"/>
      <c r="J752" s="244"/>
    </row>
    <row r="753" spans="1:10">
      <c r="A753" s="245"/>
      <c r="D753" s="245"/>
      <c r="F753" s="389"/>
      <c r="G753" s="244"/>
      <c r="H753" s="244"/>
      <c r="I753" s="244"/>
      <c r="J753" s="244"/>
    </row>
    <row r="754" spans="1:10">
      <c r="A754" s="245"/>
      <c r="D754" s="245"/>
      <c r="F754" s="389"/>
      <c r="G754" s="244"/>
      <c r="H754" s="244"/>
      <c r="I754" s="244"/>
      <c r="J754" s="244"/>
    </row>
    <row r="755" spans="1:10">
      <c r="A755" s="245"/>
      <c r="D755" s="245"/>
      <c r="F755" s="389"/>
      <c r="G755" s="244"/>
      <c r="H755" s="244"/>
      <c r="I755" s="244"/>
      <c r="J755" s="244"/>
    </row>
    <row r="756" spans="1:10">
      <c r="A756" s="245"/>
      <c r="D756" s="245"/>
      <c r="F756" s="389"/>
      <c r="G756" s="244"/>
      <c r="H756" s="244"/>
      <c r="I756" s="244"/>
      <c r="J756" s="244"/>
    </row>
    <row r="757" spans="1:10">
      <c r="A757" s="245"/>
      <c r="D757" s="245"/>
      <c r="F757" s="389"/>
      <c r="G757" s="244"/>
      <c r="H757" s="244"/>
      <c r="I757" s="244"/>
      <c r="J757" s="244"/>
    </row>
    <row r="758" spans="1:10">
      <c r="A758" s="245"/>
      <c r="D758" s="245"/>
      <c r="F758" s="389"/>
      <c r="G758" s="244"/>
      <c r="H758" s="244"/>
      <c r="I758" s="244"/>
      <c r="J758" s="244"/>
    </row>
    <row r="759" spans="1:10">
      <c r="A759" s="245"/>
      <c r="D759" s="245"/>
      <c r="F759" s="389"/>
      <c r="G759" s="244"/>
      <c r="H759" s="244"/>
      <c r="I759" s="244"/>
      <c r="J759" s="244"/>
    </row>
    <row r="760" spans="1:10">
      <c r="A760" s="245"/>
      <c r="D760" s="245"/>
      <c r="F760" s="389"/>
      <c r="G760" s="244"/>
      <c r="H760" s="244"/>
      <c r="I760" s="244"/>
      <c r="J760" s="244"/>
    </row>
    <row r="761" spans="1:10">
      <c r="A761" s="245"/>
      <c r="D761" s="245"/>
      <c r="F761" s="389"/>
      <c r="G761" s="244"/>
      <c r="H761" s="244"/>
      <c r="I761" s="244"/>
      <c r="J761" s="244"/>
    </row>
    <row r="762" spans="1:10">
      <c r="A762" s="245"/>
      <c r="D762" s="245"/>
      <c r="F762" s="389"/>
      <c r="G762" s="244"/>
      <c r="H762" s="244"/>
      <c r="I762" s="244"/>
      <c r="J762" s="244"/>
    </row>
    <row r="763" spans="1:10">
      <c r="A763" s="245"/>
      <c r="D763" s="245"/>
      <c r="F763" s="389"/>
      <c r="G763" s="244"/>
      <c r="H763" s="244"/>
      <c r="I763" s="244"/>
      <c r="J763" s="244"/>
    </row>
    <row r="764" spans="1:10">
      <c r="A764" s="245"/>
      <c r="D764" s="245"/>
      <c r="F764" s="389"/>
      <c r="G764" s="244"/>
      <c r="H764" s="244"/>
      <c r="I764" s="244"/>
      <c r="J764" s="244"/>
    </row>
    <row r="765" spans="1:10">
      <c r="A765" s="245"/>
      <c r="D765" s="245"/>
      <c r="F765" s="389"/>
      <c r="G765" s="244"/>
      <c r="H765" s="244"/>
      <c r="I765" s="244"/>
      <c r="J765" s="244"/>
    </row>
    <row r="766" spans="1:10">
      <c r="A766" s="245"/>
      <c r="D766" s="245"/>
      <c r="F766" s="389"/>
      <c r="G766" s="244"/>
      <c r="H766" s="244"/>
      <c r="I766" s="244"/>
      <c r="J766" s="244"/>
    </row>
    <row r="767" spans="1:10">
      <c r="A767" s="245"/>
      <c r="D767" s="245"/>
      <c r="F767" s="389"/>
      <c r="G767" s="244"/>
      <c r="H767" s="244"/>
      <c r="I767" s="244"/>
      <c r="J767" s="244"/>
    </row>
    <row r="768" spans="1:10">
      <c r="A768" s="245"/>
      <c r="D768" s="245"/>
      <c r="F768" s="389"/>
      <c r="G768" s="244"/>
      <c r="H768" s="244"/>
      <c r="I768" s="244"/>
      <c r="J768" s="244"/>
    </row>
    <row r="769" spans="1:10">
      <c r="A769" s="245"/>
      <c r="D769" s="245"/>
      <c r="F769" s="389"/>
      <c r="G769" s="244"/>
      <c r="H769" s="244"/>
      <c r="I769" s="244"/>
      <c r="J769" s="244"/>
    </row>
    <row r="770" spans="1:10">
      <c r="A770" s="245"/>
      <c r="D770" s="245"/>
      <c r="F770" s="389"/>
      <c r="G770" s="244"/>
      <c r="H770" s="244"/>
      <c r="I770" s="244"/>
      <c r="J770" s="244"/>
    </row>
    <row r="771" spans="1:10">
      <c r="A771" s="245"/>
      <c r="D771" s="245"/>
      <c r="F771" s="389"/>
      <c r="G771" s="244"/>
      <c r="H771" s="244"/>
      <c r="I771" s="244"/>
      <c r="J771" s="244"/>
    </row>
    <row r="772" spans="1:10">
      <c r="A772" s="245"/>
      <c r="D772" s="245"/>
      <c r="F772" s="389"/>
      <c r="G772" s="244"/>
      <c r="H772" s="244"/>
      <c r="I772" s="244"/>
      <c r="J772" s="244"/>
    </row>
    <row r="773" spans="1:10">
      <c r="A773" s="245"/>
      <c r="D773" s="245"/>
      <c r="F773" s="389"/>
      <c r="G773" s="244"/>
      <c r="H773" s="244"/>
      <c r="I773" s="244"/>
      <c r="J773" s="244"/>
    </row>
    <row r="774" spans="1:10">
      <c r="A774" s="245"/>
      <c r="D774" s="245"/>
      <c r="F774" s="389"/>
      <c r="G774" s="244"/>
      <c r="H774" s="244"/>
      <c r="I774" s="244"/>
      <c r="J774" s="244"/>
    </row>
    <row r="775" spans="1:10">
      <c r="A775" s="245"/>
      <c r="D775" s="245"/>
      <c r="F775" s="389"/>
      <c r="G775" s="244"/>
      <c r="H775" s="244"/>
      <c r="I775" s="244"/>
      <c r="J775" s="244"/>
    </row>
    <row r="776" spans="1:10">
      <c r="A776" s="245"/>
      <c r="D776" s="245"/>
      <c r="F776" s="389"/>
      <c r="G776" s="244"/>
      <c r="H776" s="244"/>
      <c r="I776" s="244"/>
      <c r="J776" s="244"/>
    </row>
    <row r="777" spans="1:10">
      <c r="A777" s="245"/>
      <c r="D777" s="245"/>
      <c r="F777" s="389"/>
      <c r="G777" s="244"/>
      <c r="H777" s="244"/>
      <c r="I777" s="244"/>
      <c r="J777" s="244"/>
    </row>
    <row r="778" spans="1:10">
      <c r="A778" s="245"/>
      <c r="D778" s="245"/>
      <c r="F778" s="389"/>
      <c r="G778" s="244"/>
      <c r="H778" s="244"/>
      <c r="I778" s="244"/>
      <c r="J778" s="244"/>
    </row>
    <row r="779" spans="1:10">
      <c r="A779" s="245"/>
      <c r="D779" s="245"/>
      <c r="F779" s="389"/>
      <c r="G779" s="244"/>
      <c r="H779" s="244"/>
      <c r="I779" s="244"/>
      <c r="J779" s="244"/>
    </row>
    <row r="780" spans="1:10">
      <c r="A780" s="245"/>
      <c r="D780" s="245"/>
      <c r="F780" s="389"/>
      <c r="G780" s="244"/>
      <c r="H780" s="244"/>
      <c r="I780" s="244"/>
      <c r="J780" s="244"/>
    </row>
    <row r="781" spans="1:10">
      <c r="A781" s="245"/>
      <c r="D781" s="245"/>
      <c r="F781" s="389"/>
      <c r="G781" s="244"/>
      <c r="H781" s="244"/>
      <c r="I781" s="244"/>
      <c r="J781" s="244"/>
    </row>
    <row r="782" spans="1:10">
      <c r="A782" s="245"/>
      <c r="D782" s="245"/>
      <c r="F782" s="389"/>
      <c r="G782" s="244"/>
      <c r="H782" s="244"/>
      <c r="I782" s="244"/>
      <c r="J782" s="244"/>
    </row>
    <row r="783" spans="1:10">
      <c r="A783" s="245"/>
      <c r="D783" s="245"/>
      <c r="F783" s="389"/>
      <c r="G783" s="244"/>
      <c r="H783" s="244"/>
      <c r="I783" s="244"/>
      <c r="J783" s="244"/>
    </row>
    <row r="784" spans="1:10">
      <c r="A784" s="245"/>
      <c r="D784" s="245"/>
      <c r="F784" s="389"/>
      <c r="G784" s="244"/>
      <c r="H784" s="244"/>
      <c r="I784" s="244"/>
      <c r="J784" s="244"/>
    </row>
    <row r="785" spans="1:10">
      <c r="A785" s="245"/>
      <c r="D785" s="245"/>
      <c r="F785" s="389"/>
      <c r="G785" s="244"/>
      <c r="H785" s="244"/>
      <c r="I785" s="244"/>
      <c r="J785" s="244"/>
    </row>
    <row r="786" spans="1:10">
      <c r="A786" s="245"/>
      <c r="D786" s="245"/>
      <c r="F786" s="389"/>
      <c r="G786" s="244"/>
      <c r="H786" s="244"/>
      <c r="I786" s="244"/>
      <c r="J786" s="244"/>
    </row>
    <row r="787" spans="1:10">
      <c r="A787" s="245"/>
      <c r="D787" s="245"/>
      <c r="F787" s="389"/>
      <c r="G787" s="244"/>
      <c r="H787" s="244"/>
      <c r="I787" s="244"/>
      <c r="J787" s="244"/>
    </row>
    <row r="788" spans="1:10">
      <c r="A788" s="245"/>
      <c r="D788" s="245"/>
      <c r="F788" s="389"/>
      <c r="G788" s="244"/>
      <c r="H788" s="244"/>
      <c r="I788" s="244"/>
      <c r="J788" s="244"/>
    </row>
    <row r="789" spans="1:10">
      <c r="A789" s="245"/>
      <c r="D789" s="245"/>
      <c r="F789" s="389"/>
      <c r="G789" s="244"/>
      <c r="H789" s="244"/>
      <c r="I789" s="244"/>
      <c r="J789" s="244"/>
    </row>
    <row r="790" spans="1:10">
      <c r="A790" s="245"/>
      <c r="D790" s="245"/>
      <c r="F790" s="389"/>
      <c r="G790" s="244"/>
      <c r="H790" s="244"/>
      <c r="I790" s="244"/>
      <c r="J790" s="244"/>
    </row>
    <row r="791" spans="1:10">
      <c r="A791" s="245"/>
      <c r="D791" s="245"/>
      <c r="F791" s="389"/>
      <c r="G791" s="244"/>
      <c r="H791" s="244"/>
      <c r="I791" s="244"/>
      <c r="J791" s="244"/>
    </row>
    <row r="792" spans="1:10">
      <c r="A792" s="245"/>
      <c r="D792" s="245"/>
      <c r="F792" s="389"/>
      <c r="G792" s="244"/>
      <c r="H792" s="244"/>
      <c r="I792" s="244"/>
      <c r="J792" s="244"/>
    </row>
    <row r="793" spans="1:10">
      <c r="A793" s="245"/>
      <c r="D793" s="245"/>
      <c r="F793" s="389"/>
      <c r="G793" s="244"/>
      <c r="H793" s="244"/>
      <c r="I793" s="244"/>
      <c r="J793" s="244"/>
    </row>
    <row r="794" spans="1:10">
      <c r="A794" s="245"/>
      <c r="D794" s="245"/>
      <c r="F794" s="389"/>
      <c r="G794" s="244"/>
      <c r="H794" s="244"/>
      <c r="I794" s="244"/>
      <c r="J794" s="244"/>
    </row>
    <row r="795" spans="1:10">
      <c r="A795" s="245"/>
      <c r="D795" s="245"/>
      <c r="F795" s="389"/>
      <c r="G795" s="244"/>
      <c r="H795" s="244"/>
      <c r="I795" s="244"/>
      <c r="J795" s="244"/>
    </row>
    <row r="796" spans="1:10">
      <c r="A796" s="245"/>
      <c r="D796" s="245"/>
      <c r="F796" s="389"/>
      <c r="G796" s="244"/>
      <c r="H796" s="244"/>
      <c r="I796" s="244"/>
      <c r="J796" s="244"/>
    </row>
    <row r="797" spans="1:10">
      <c r="A797" s="245"/>
      <c r="D797" s="245"/>
      <c r="F797" s="389"/>
      <c r="G797" s="244"/>
      <c r="H797" s="244"/>
      <c r="I797" s="244"/>
      <c r="J797" s="244"/>
    </row>
    <row r="798" spans="1:10">
      <c r="A798" s="245"/>
      <c r="D798" s="245"/>
      <c r="F798" s="389"/>
      <c r="G798" s="244"/>
      <c r="H798" s="244"/>
      <c r="I798" s="244"/>
      <c r="J798" s="244"/>
    </row>
    <row r="799" spans="1:10">
      <c r="A799" s="245"/>
      <c r="D799" s="245"/>
      <c r="F799" s="389"/>
      <c r="G799" s="244"/>
      <c r="H799" s="244"/>
      <c r="I799" s="244"/>
      <c r="J799" s="244"/>
    </row>
    <row r="800" spans="1:10">
      <c r="A800" s="245"/>
      <c r="D800" s="245"/>
      <c r="F800" s="389"/>
      <c r="G800" s="244"/>
      <c r="H800" s="244"/>
      <c r="I800" s="244"/>
      <c r="J800" s="244"/>
    </row>
    <row r="801" spans="1:10">
      <c r="A801" s="245"/>
      <c r="D801" s="245"/>
      <c r="F801" s="389"/>
      <c r="G801" s="244"/>
      <c r="H801" s="244"/>
      <c r="I801" s="244"/>
      <c r="J801" s="244"/>
    </row>
    <row r="802" spans="1:10">
      <c r="A802" s="245"/>
      <c r="D802" s="245"/>
      <c r="F802" s="389"/>
      <c r="G802" s="244"/>
      <c r="H802" s="244"/>
      <c r="I802" s="244"/>
      <c r="J802" s="244"/>
    </row>
    <row r="803" spans="1:10">
      <c r="A803" s="245"/>
      <c r="D803" s="245"/>
      <c r="F803" s="389"/>
      <c r="G803" s="244"/>
      <c r="H803" s="244"/>
      <c r="I803" s="244"/>
      <c r="J803" s="244"/>
    </row>
    <row r="804" spans="1:10">
      <c r="A804" s="245"/>
      <c r="D804" s="245"/>
      <c r="F804" s="389"/>
      <c r="G804" s="244"/>
      <c r="H804" s="244"/>
      <c r="I804" s="244"/>
      <c r="J804" s="244"/>
    </row>
    <row r="805" spans="1:10">
      <c r="A805" s="245"/>
      <c r="D805" s="245"/>
      <c r="F805" s="389"/>
      <c r="G805" s="244"/>
      <c r="H805" s="244"/>
      <c r="I805" s="244"/>
      <c r="J805" s="244"/>
    </row>
    <row r="806" spans="1:10">
      <c r="A806" s="245"/>
      <c r="D806" s="245"/>
      <c r="F806" s="389"/>
      <c r="G806" s="244"/>
      <c r="H806" s="244"/>
      <c r="I806" s="244"/>
      <c r="J806" s="244"/>
    </row>
    <row r="807" spans="1:10">
      <c r="A807" s="245"/>
      <c r="D807" s="245"/>
      <c r="F807" s="389"/>
      <c r="G807" s="244"/>
      <c r="H807" s="244"/>
      <c r="I807" s="244"/>
      <c r="J807" s="244"/>
    </row>
    <row r="808" spans="1:10">
      <c r="A808" s="245"/>
      <c r="D808" s="245"/>
      <c r="F808" s="389"/>
      <c r="G808" s="244"/>
      <c r="H808" s="244"/>
      <c r="I808" s="244"/>
      <c r="J808" s="244"/>
    </row>
    <row r="809" spans="1:10">
      <c r="A809" s="245"/>
      <c r="D809" s="245"/>
      <c r="F809" s="389"/>
      <c r="G809" s="244"/>
      <c r="H809" s="244"/>
      <c r="I809" s="244"/>
      <c r="J809" s="244"/>
    </row>
    <row r="810" spans="1:10">
      <c r="A810" s="245"/>
      <c r="D810" s="245"/>
      <c r="F810" s="389"/>
      <c r="G810" s="244"/>
      <c r="H810" s="244"/>
      <c r="I810" s="244"/>
      <c r="J810" s="244"/>
    </row>
    <row r="811" spans="1:10">
      <c r="A811" s="245"/>
      <c r="D811" s="245"/>
      <c r="F811" s="389"/>
      <c r="G811" s="244"/>
      <c r="H811" s="244"/>
      <c r="I811" s="244"/>
      <c r="J811" s="244"/>
    </row>
    <row r="812" spans="1:10">
      <c r="A812" s="245"/>
      <c r="D812" s="245"/>
      <c r="F812" s="389"/>
      <c r="G812" s="244"/>
      <c r="H812" s="244"/>
      <c r="I812" s="244"/>
      <c r="J812" s="244"/>
    </row>
    <row r="813" spans="1:10">
      <c r="A813" s="245"/>
      <c r="D813" s="245"/>
      <c r="F813" s="389"/>
      <c r="G813" s="244"/>
      <c r="H813" s="244"/>
      <c r="I813" s="244"/>
      <c r="J813" s="244"/>
    </row>
    <row r="814" spans="1:10">
      <c r="A814" s="245"/>
      <c r="D814" s="245"/>
      <c r="F814" s="389"/>
      <c r="G814" s="244"/>
      <c r="H814" s="244"/>
      <c r="I814" s="244"/>
      <c r="J814" s="244"/>
    </row>
    <row r="815" spans="1:10">
      <c r="A815" s="245"/>
      <c r="D815" s="245"/>
      <c r="F815" s="389"/>
      <c r="G815" s="244"/>
      <c r="H815" s="244"/>
      <c r="I815" s="244"/>
      <c r="J815" s="244"/>
    </row>
    <row r="816" spans="1:10">
      <c r="A816" s="245"/>
      <c r="D816" s="245"/>
      <c r="F816" s="389"/>
      <c r="G816" s="244"/>
      <c r="H816" s="244"/>
      <c r="I816" s="244"/>
      <c r="J816" s="244"/>
    </row>
    <row r="817" spans="1:10">
      <c r="A817" s="245"/>
      <c r="D817" s="245"/>
      <c r="F817" s="389"/>
      <c r="G817" s="244"/>
      <c r="H817" s="244"/>
      <c r="I817" s="244"/>
      <c r="J817" s="244"/>
    </row>
    <row r="818" spans="1:10">
      <c r="A818" s="245"/>
      <c r="D818" s="245"/>
      <c r="F818" s="389"/>
      <c r="G818" s="244"/>
      <c r="H818" s="244"/>
      <c r="I818" s="244"/>
      <c r="J818" s="244"/>
    </row>
    <row r="819" spans="1:10">
      <c r="A819" s="245"/>
      <c r="D819" s="245"/>
      <c r="F819" s="389"/>
      <c r="G819" s="244"/>
      <c r="H819" s="244"/>
      <c r="I819" s="244"/>
      <c r="J819" s="244"/>
    </row>
    <row r="820" spans="1:10">
      <c r="A820" s="245"/>
      <c r="D820" s="245"/>
      <c r="F820" s="389"/>
      <c r="G820" s="244"/>
      <c r="H820" s="244"/>
      <c r="I820" s="244"/>
      <c r="J820" s="244"/>
    </row>
    <row r="821" spans="1:10">
      <c r="A821" s="245"/>
      <c r="D821" s="245"/>
      <c r="F821" s="389"/>
      <c r="G821" s="244"/>
      <c r="H821" s="244"/>
      <c r="I821" s="244"/>
      <c r="J821" s="244"/>
    </row>
    <row r="822" spans="1:10">
      <c r="A822" s="245"/>
      <c r="D822" s="245"/>
      <c r="F822" s="389"/>
      <c r="G822" s="244"/>
      <c r="H822" s="244"/>
      <c r="I822" s="244"/>
      <c r="J822" s="244"/>
    </row>
    <row r="823" spans="1:10">
      <c r="A823" s="245"/>
      <c r="D823" s="245"/>
      <c r="F823" s="389"/>
      <c r="G823" s="244"/>
      <c r="H823" s="244"/>
      <c r="I823" s="244"/>
      <c r="J823" s="244"/>
    </row>
    <row r="824" spans="1:10">
      <c r="A824" s="245"/>
      <c r="D824" s="245"/>
      <c r="F824" s="389"/>
      <c r="G824" s="244"/>
      <c r="H824" s="244"/>
      <c r="I824" s="244"/>
      <c r="J824" s="244"/>
    </row>
    <row r="825" spans="1:10">
      <c r="A825" s="245"/>
      <c r="D825" s="245"/>
      <c r="F825" s="389"/>
      <c r="G825" s="244"/>
      <c r="H825" s="244"/>
      <c r="I825" s="244"/>
      <c r="J825" s="244"/>
    </row>
    <row r="826" spans="1:10">
      <c r="A826" s="245"/>
      <c r="D826" s="245"/>
      <c r="F826" s="389"/>
      <c r="G826" s="244"/>
      <c r="H826" s="244"/>
      <c r="I826" s="244"/>
      <c r="J826" s="244"/>
    </row>
    <row r="827" spans="1:10">
      <c r="A827" s="245"/>
      <c r="D827" s="245"/>
      <c r="F827" s="389"/>
      <c r="G827" s="244"/>
      <c r="H827" s="244"/>
      <c r="I827" s="244"/>
      <c r="J827" s="244"/>
    </row>
    <row r="828" spans="1:10">
      <c r="A828" s="245"/>
      <c r="D828" s="245"/>
      <c r="F828" s="389"/>
      <c r="G828" s="244"/>
      <c r="H828" s="244"/>
      <c r="I828" s="244"/>
      <c r="J828" s="244"/>
    </row>
    <row r="829" spans="1:10">
      <c r="A829" s="245"/>
      <c r="D829" s="245"/>
      <c r="F829" s="389"/>
      <c r="G829" s="244"/>
      <c r="H829" s="244"/>
      <c r="I829" s="244"/>
      <c r="J829" s="244"/>
    </row>
    <row r="830" spans="1:10">
      <c r="A830" s="245"/>
      <c r="D830" s="245"/>
      <c r="F830" s="389"/>
      <c r="G830" s="244"/>
      <c r="H830" s="244"/>
      <c r="I830" s="244"/>
      <c r="J830" s="244"/>
    </row>
    <row r="831" spans="1:10">
      <c r="A831" s="245"/>
      <c r="D831" s="245"/>
      <c r="F831" s="389"/>
      <c r="G831" s="244"/>
      <c r="H831" s="244"/>
      <c r="I831" s="244"/>
      <c r="J831" s="244"/>
    </row>
    <row r="832" spans="1:10">
      <c r="A832" s="245"/>
      <c r="D832" s="245"/>
      <c r="F832" s="389"/>
      <c r="G832" s="244"/>
      <c r="H832" s="244"/>
      <c r="I832" s="244"/>
      <c r="J832" s="244"/>
    </row>
    <row r="833" spans="1:10">
      <c r="A833" s="245"/>
      <c r="D833" s="245"/>
      <c r="F833" s="389"/>
      <c r="G833" s="244"/>
      <c r="H833" s="244"/>
      <c r="I833" s="244"/>
      <c r="J833" s="244"/>
    </row>
    <row r="834" spans="1:10">
      <c r="A834" s="245"/>
      <c r="D834" s="245"/>
      <c r="F834" s="389"/>
      <c r="G834" s="244"/>
      <c r="H834" s="244"/>
      <c r="I834" s="244"/>
      <c r="J834" s="244"/>
    </row>
    <row r="835" spans="1:10">
      <c r="A835" s="245"/>
      <c r="D835" s="245"/>
      <c r="F835" s="389"/>
      <c r="G835" s="244"/>
      <c r="H835" s="244"/>
      <c r="I835" s="244"/>
      <c r="J835" s="244"/>
    </row>
    <row r="836" spans="1:10">
      <c r="A836" s="245"/>
      <c r="D836" s="245"/>
      <c r="F836" s="389"/>
      <c r="G836" s="244"/>
      <c r="H836" s="244"/>
      <c r="I836" s="244"/>
      <c r="J836" s="244"/>
    </row>
    <row r="837" spans="1:10">
      <c r="A837" s="245"/>
      <c r="D837" s="245"/>
      <c r="F837" s="389"/>
      <c r="G837" s="244"/>
      <c r="H837" s="244"/>
      <c r="I837" s="244"/>
      <c r="J837" s="244"/>
    </row>
    <row r="838" spans="1:10">
      <c r="A838" s="245"/>
      <c r="D838" s="245"/>
      <c r="F838" s="389"/>
      <c r="G838" s="244"/>
      <c r="H838" s="244"/>
      <c r="I838" s="244"/>
      <c r="J838" s="244"/>
    </row>
    <row r="839" spans="1:10">
      <c r="A839" s="245"/>
      <c r="D839" s="245"/>
      <c r="F839" s="389"/>
      <c r="G839" s="244"/>
      <c r="H839" s="244"/>
      <c r="I839" s="244"/>
      <c r="J839" s="244"/>
    </row>
    <row r="840" spans="1:10">
      <c r="A840" s="245"/>
      <c r="D840" s="245"/>
      <c r="F840" s="389"/>
      <c r="G840" s="244"/>
      <c r="H840" s="244"/>
      <c r="I840" s="244"/>
      <c r="J840" s="244"/>
    </row>
    <row r="841" spans="1:10">
      <c r="A841" s="245"/>
      <c r="D841" s="245"/>
      <c r="F841" s="389"/>
      <c r="G841" s="244"/>
      <c r="H841" s="244"/>
      <c r="I841" s="244"/>
      <c r="J841" s="244"/>
    </row>
    <row r="842" spans="1:10">
      <c r="A842" s="245"/>
      <c r="D842" s="245"/>
      <c r="F842" s="389"/>
      <c r="G842" s="244"/>
      <c r="H842" s="244"/>
      <c r="I842" s="244"/>
      <c r="J842" s="244"/>
    </row>
    <row r="843" spans="1:10">
      <c r="A843" s="245"/>
      <c r="D843" s="245"/>
      <c r="F843" s="389"/>
      <c r="G843" s="244"/>
      <c r="H843" s="244"/>
      <c r="I843" s="244"/>
      <c r="J843" s="244"/>
    </row>
    <row r="844" spans="1:10">
      <c r="A844" s="245"/>
      <c r="D844" s="245"/>
      <c r="F844" s="389"/>
      <c r="G844" s="244"/>
      <c r="H844" s="244"/>
      <c r="I844" s="244"/>
      <c r="J844" s="244"/>
    </row>
    <row r="845" spans="1:10">
      <c r="A845" s="245"/>
      <c r="D845" s="245"/>
      <c r="F845" s="389"/>
      <c r="G845" s="244"/>
      <c r="H845" s="244"/>
      <c r="I845" s="244"/>
      <c r="J845" s="244"/>
    </row>
    <row r="846" spans="1:10">
      <c r="A846" s="245"/>
      <c r="D846" s="245"/>
      <c r="F846" s="389"/>
      <c r="G846" s="244"/>
      <c r="H846" s="244"/>
      <c r="I846" s="244"/>
      <c r="J846" s="244"/>
    </row>
    <row r="847" spans="1:10">
      <c r="A847" s="245"/>
      <c r="D847" s="245"/>
      <c r="F847" s="389"/>
      <c r="G847" s="244"/>
      <c r="H847" s="244"/>
      <c r="I847" s="244"/>
      <c r="J847" s="244"/>
    </row>
    <row r="848" spans="1:10">
      <c r="A848" s="245"/>
      <c r="D848" s="245"/>
      <c r="F848" s="389"/>
      <c r="G848" s="244"/>
      <c r="H848" s="244"/>
      <c r="I848" s="244"/>
      <c r="J848" s="244"/>
    </row>
    <row r="849" spans="1:10">
      <c r="A849" s="245"/>
      <c r="D849" s="245"/>
      <c r="F849" s="389"/>
      <c r="G849" s="244"/>
      <c r="H849" s="244"/>
      <c r="I849" s="244"/>
      <c r="J849" s="244"/>
    </row>
    <row r="850" spans="1:10">
      <c r="A850" s="245"/>
      <c r="D850" s="245"/>
      <c r="F850" s="389"/>
      <c r="G850" s="244"/>
      <c r="H850" s="244"/>
      <c r="I850" s="244"/>
      <c r="J850" s="244"/>
    </row>
    <row r="851" spans="1:10">
      <c r="A851" s="245"/>
      <c r="D851" s="245"/>
      <c r="F851" s="389"/>
      <c r="G851" s="244"/>
      <c r="H851" s="244"/>
      <c r="I851" s="244"/>
      <c r="J851" s="244"/>
    </row>
    <row r="852" spans="1:10">
      <c r="A852" s="245"/>
      <c r="D852" s="245"/>
      <c r="F852" s="389"/>
      <c r="G852" s="244"/>
      <c r="H852" s="244"/>
      <c r="I852" s="244"/>
      <c r="J852" s="244"/>
    </row>
    <row r="853" spans="1:10">
      <c r="A853" s="245"/>
      <c r="D853" s="245"/>
      <c r="F853" s="389"/>
      <c r="G853" s="244"/>
      <c r="H853" s="244"/>
      <c r="I853" s="244"/>
      <c r="J853" s="244"/>
    </row>
    <row r="854" spans="1:10">
      <c r="A854" s="245"/>
      <c r="D854" s="245"/>
      <c r="F854" s="389"/>
      <c r="G854" s="244"/>
      <c r="H854" s="244"/>
      <c r="I854" s="244"/>
      <c r="J854" s="244"/>
    </row>
    <row r="855" spans="1:10">
      <c r="A855" s="245"/>
      <c r="D855" s="245"/>
      <c r="F855" s="389"/>
      <c r="G855" s="244"/>
      <c r="H855" s="244"/>
      <c r="I855" s="244"/>
      <c r="J855" s="244"/>
    </row>
    <row r="856" spans="1:10">
      <c r="A856" s="245"/>
      <c r="D856" s="245"/>
      <c r="F856" s="389"/>
      <c r="G856" s="244"/>
      <c r="H856" s="244"/>
      <c r="I856" s="244"/>
      <c r="J856" s="244"/>
    </row>
    <row r="857" spans="1:10">
      <c r="A857" s="245"/>
      <c r="D857" s="245"/>
      <c r="F857" s="389"/>
      <c r="G857" s="244"/>
      <c r="H857" s="244"/>
      <c r="I857" s="244"/>
      <c r="J857" s="244"/>
    </row>
    <row r="858" spans="1:10">
      <c r="A858" s="245"/>
      <c r="D858" s="245"/>
      <c r="F858" s="389"/>
      <c r="G858" s="244"/>
      <c r="H858" s="244"/>
      <c r="I858" s="244"/>
      <c r="J858" s="244"/>
    </row>
    <row r="859" spans="1:10">
      <c r="A859" s="245"/>
      <c r="D859" s="245"/>
      <c r="F859" s="389"/>
      <c r="G859" s="244"/>
      <c r="H859" s="244"/>
      <c r="I859" s="244"/>
      <c r="J859" s="244"/>
    </row>
    <row r="860" spans="1:10">
      <c r="A860" s="245"/>
      <c r="D860" s="245"/>
      <c r="F860" s="389"/>
      <c r="G860" s="244"/>
      <c r="H860" s="244"/>
      <c r="I860" s="244"/>
      <c r="J860" s="244"/>
    </row>
    <row r="861" spans="1:10">
      <c r="A861" s="245"/>
      <c r="D861" s="245"/>
      <c r="F861" s="389"/>
      <c r="G861" s="244"/>
      <c r="H861" s="244"/>
      <c r="I861" s="244"/>
      <c r="J861" s="244"/>
    </row>
    <row r="862" spans="1:10">
      <c r="A862" s="245"/>
      <c r="D862" s="245"/>
      <c r="F862" s="389"/>
      <c r="G862" s="244"/>
      <c r="H862" s="244"/>
      <c r="I862" s="244"/>
      <c r="J862" s="244"/>
    </row>
    <row r="863" spans="1:10">
      <c r="A863" s="245"/>
      <c r="D863" s="245"/>
      <c r="F863" s="389"/>
      <c r="G863" s="244"/>
      <c r="H863" s="244"/>
      <c r="I863" s="244"/>
      <c r="J863" s="244"/>
    </row>
    <row r="864" spans="1:10">
      <c r="A864" s="245"/>
      <c r="D864" s="245"/>
      <c r="F864" s="389"/>
      <c r="G864" s="244"/>
      <c r="H864" s="244"/>
      <c r="I864" s="244"/>
      <c r="J864" s="244"/>
    </row>
    <row r="865" spans="1:10">
      <c r="A865" s="245"/>
      <c r="D865" s="245"/>
      <c r="F865" s="389"/>
      <c r="G865" s="244"/>
      <c r="H865" s="244"/>
      <c r="I865" s="244"/>
      <c r="J865" s="244"/>
    </row>
    <row r="866" spans="1:10">
      <c r="A866" s="245"/>
      <c r="D866" s="245"/>
      <c r="F866" s="389"/>
      <c r="G866" s="244"/>
      <c r="H866" s="244"/>
      <c r="I866" s="244"/>
      <c r="J866" s="244"/>
    </row>
    <row r="867" spans="1:10">
      <c r="A867" s="245"/>
      <c r="D867" s="245"/>
      <c r="F867" s="389"/>
      <c r="G867" s="244"/>
      <c r="H867" s="244"/>
      <c r="I867" s="244"/>
      <c r="J867" s="244"/>
    </row>
    <row r="868" spans="1:10">
      <c r="A868" s="245"/>
      <c r="D868" s="245"/>
      <c r="F868" s="389"/>
      <c r="G868" s="244"/>
      <c r="H868" s="244"/>
      <c r="I868" s="244"/>
      <c r="J868" s="244"/>
    </row>
    <row r="869" spans="1:10">
      <c r="A869" s="245"/>
      <c r="D869" s="245"/>
      <c r="F869" s="389"/>
      <c r="G869" s="244"/>
      <c r="H869" s="244"/>
      <c r="I869" s="244"/>
      <c r="J869" s="244"/>
    </row>
    <row r="870" spans="1:10">
      <c r="A870" s="245"/>
      <c r="D870" s="245"/>
      <c r="F870" s="389"/>
      <c r="G870" s="244"/>
      <c r="H870" s="244"/>
      <c r="I870" s="244"/>
      <c r="J870" s="244"/>
    </row>
    <row r="871" spans="1:10">
      <c r="A871" s="245"/>
      <c r="D871" s="245"/>
      <c r="F871" s="389"/>
      <c r="G871" s="244"/>
      <c r="H871" s="244"/>
      <c r="I871" s="244"/>
      <c r="J871" s="244"/>
    </row>
    <row r="872" spans="1:10">
      <c r="A872" s="245"/>
      <c r="D872" s="245"/>
      <c r="F872" s="389"/>
      <c r="G872" s="244"/>
      <c r="H872" s="244"/>
      <c r="I872" s="244"/>
      <c r="J872" s="244"/>
    </row>
    <row r="873" spans="1:10">
      <c r="A873" s="245"/>
      <c r="D873" s="245"/>
      <c r="F873" s="389"/>
      <c r="G873" s="244"/>
      <c r="H873" s="244"/>
      <c r="I873" s="244"/>
      <c r="J873" s="244"/>
    </row>
    <row r="874" spans="1:10">
      <c r="A874" s="245"/>
      <c r="D874" s="245"/>
      <c r="F874" s="389"/>
      <c r="G874" s="244"/>
      <c r="H874" s="244"/>
      <c r="I874" s="244"/>
      <c r="J874" s="244"/>
    </row>
    <row r="875" spans="1:10">
      <c r="A875" s="245"/>
      <c r="D875" s="245"/>
      <c r="F875" s="389"/>
      <c r="G875" s="244"/>
      <c r="H875" s="244"/>
      <c r="I875" s="244"/>
      <c r="J875" s="244"/>
    </row>
    <row r="876" spans="1:10">
      <c r="A876" s="245"/>
      <c r="D876" s="245"/>
      <c r="F876" s="389"/>
      <c r="G876" s="244"/>
      <c r="H876" s="244"/>
      <c r="I876" s="244"/>
      <c r="J876" s="244"/>
    </row>
    <row r="877" spans="1:10">
      <c r="A877" s="245"/>
      <c r="D877" s="245"/>
      <c r="F877" s="389"/>
      <c r="G877" s="244"/>
      <c r="H877" s="244"/>
      <c r="I877" s="244"/>
      <c r="J877" s="244"/>
    </row>
    <row r="878" spans="1:10">
      <c r="A878" s="245"/>
      <c r="D878" s="245"/>
      <c r="F878" s="389"/>
      <c r="G878" s="244"/>
      <c r="H878" s="244"/>
      <c r="I878" s="244"/>
      <c r="J878" s="244"/>
    </row>
    <row r="879" spans="1:10">
      <c r="A879" s="245"/>
      <c r="D879" s="245"/>
      <c r="F879" s="389"/>
      <c r="G879" s="244"/>
      <c r="H879" s="244"/>
      <c r="I879" s="244"/>
      <c r="J879" s="244"/>
    </row>
    <row r="880" spans="1:10">
      <c r="A880" s="245"/>
      <c r="D880" s="245"/>
      <c r="F880" s="389"/>
      <c r="G880" s="244"/>
      <c r="H880" s="244"/>
      <c r="I880" s="244"/>
      <c r="J880" s="244"/>
    </row>
    <row r="881" spans="1:10">
      <c r="A881" s="245"/>
      <c r="D881" s="245"/>
      <c r="F881" s="389"/>
      <c r="G881" s="244"/>
      <c r="H881" s="244"/>
      <c r="I881" s="244"/>
      <c r="J881" s="244"/>
    </row>
    <row r="882" spans="1:10">
      <c r="A882" s="245"/>
      <c r="D882" s="245"/>
      <c r="F882" s="389"/>
      <c r="G882" s="244"/>
      <c r="H882" s="244"/>
      <c r="I882" s="244"/>
      <c r="J882" s="244"/>
    </row>
    <row r="883" spans="1:10">
      <c r="A883" s="245"/>
      <c r="D883" s="245"/>
      <c r="F883" s="389"/>
      <c r="G883" s="244"/>
      <c r="H883" s="244"/>
      <c r="I883" s="244"/>
      <c r="J883" s="244"/>
    </row>
    <row r="884" spans="1:10">
      <c r="A884" s="245"/>
      <c r="D884" s="245"/>
      <c r="F884" s="389"/>
      <c r="G884" s="244"/>
      <c r="H884" s="244"/>
      <c r="I884" s="244"/>
      <c r="J884" s="244"/>
    </row>
    <row r="885" spans="1:10">
      <c r="A885" s="245"/>
      <c r="D885" s="245"/>
      <c r="F885" s="389"/>
      <c r="G885" s="244"/>
      <c r="H885" s="244"/>
      <c r="I885" s="244"/>
      <c r="J885" s="244"/>
    </row>
    <row r="886" spans="1:10">
      <c r="A886" s="245"/>
      <c r="D886" s="245"/>
      <c r="F886" s="389"/>
      <c r="G886" s="244"/>
      <c r="H886" s="244"/>
      <c r="I886" s="244"/>
      <c r="J886" s="244"/>
    </row>
    <row r="887" spans="1:10">
      <c r="A887" s="245"/>
      <c r="D887" s="245"/>
      <c r="F887" s="389"/>
      <c r="G887" s="244"/>
      <c r="H887" s="244"/>
      <c r="I887" s="244"/>
      <c r="J887" s="244"/>
    </row>
    <row r="888" spans="1:10">
      <c r="A888" s="245"/>
      <c r="D888" s="245"/>
      <c r="F888" s="389"/>
      <c r="G888" s="244"/>
      <c r="H888" s="244"/>
      <c r="I888" s="244"/>
      <c r="J888" s="244"/>
    </row>
    <row r="889" spans="1:10">
      <c r="A889" s="245"/>
      <c r="D889" s="245"/>
      <c r="F889" s="389"/>
      <c r="G889" s="244"/>
      <c r="H889" s="244"/>
      <c r="I889" s="244"/>
      <c r="J889" s="244"/>
    </row>
    <row r="890" spans="1:10">
      <c r="A890" s="245"/>
      <c r="D890" s="245"/>
      <c r="F890" s="389"/>
      <c r="G890" s="244"/>
      <c r="H890" s="244"/>
      <c r="I890" s="244"/>
      <c r="J890" s="244"/>
    </row>
    <row r="891" spans="1:10">
      <c r="A891" s="245"/>
      <c r="D891" s="245"/>
      <c r="F891" s="389"/>
      <c r="G891" s="244"/>
      <c r="H891" s="244"/>
      <c r="I891" s="244"/>
      <c r="J891" s="244"/>
    </row>
    <row r="892" spans="1:10">
      <c r="A892" s="245"/>
      <c r="D892" s="245"/>
      <c r="F892" s="389"/>
      <c r="G892" s="244"/>
      <c r="H892" s="244"/>
      <c r="I892" s="244"/>
      <c r="J892" s="244"/>
    </row>
    <row r="893" spans="1:10">
      <c r="A893" s="245"/>
      <c r="D893" s="245"/>
      <c r="F893" s="389"/>
      <c r="G893" s="244"/>
      <c r="H893" s="244"/>
      <c r="I893" s="244"/>
      <c r="J893" s="244"/>
    </row>
    <row r="894" spans="1:10">
      <c r="A894" s="245"/>
      <c r="D894" s="245"/>
      <c r="F894" s="389"/>
      <c r="G894" s="244"/>
      <c r="H894" s="244"/>
      <c r="I894" s="244"/>
      <c r="J894" s="244"/>
    </row>
    <row r="895" spans="1:10">
      <c r="A895" s="245"/>
      <c r="D895" s="245"/>
      <c r="F895" s="389"/>
      <c r="G895" s="244"/>
      <c r="H895" s="244"/>
      <c r="I895" s="244"/>
      <c r="J895" s="244"/>
    </row>
    <row r="896" spans="1:10">
      <c r="A896" s="245"/>
      <c r="D896" s="245"/>
      <c r="F896" s="389"/>
      <c r="G896" s="244"/>
      <c r="H896" s="244"/>
      <c r="I896" s="244"/>
      <c r="J896" s="244"/>
    </row>
    <row r="897" spans="1:10">
      <c r="A897" s="245"/>
      <c r="D897" s="245"/>
      <c r="F897" s="389"/>
      <c r="G897" s="244"/>
      <c r="H897" s="244"/>
      <c r="I897" s="244"/>
      <c r="J897" s="244"/>
    </row>
    <row r="898" spans="1:10">
      <c r="A898" s="245"/>
      <c r="D898" s="245"/>
      <c r="F898" s="389"/>
      <c r="G898" s="244"/>
      <c r="H898" s="244"/>
      <c r="I898" s="244"/>
      <c r="J898" s="244"/>
    </row>
    <row r="899" spans="1:10">
      <c r="A899" s="245"/>
      <c r="D899" s="245"/>
      <c r="F899" s="389"/>
      <c r="G899" s="244"/>
      <c r="H899" s="244"/>
      <c r="I899" s="244"/>
      <c r="J899" s="244"/>
    </row>
    <row r="900" spans="1:10">
      <c r="A900" s="245"/>
      <c r="D900" s="245"/>
      <c r="F900" s="389"/>
      <c r="G900" s="244"/>
      <c r="H900" s="244"/>
      <c r="I900" s="244"/>
      <c r="J900" s="244"/>
    </row>
    <row r="901" spans="1:10">
      <c r="A901" s="245"/>
      <c r="D901" s="245"/>
      <c r="F901" s="389"/>
      <c r="G901" s="244"/>
      <c r="H901" s="244"/>
      <c r="I901" s="244"/>
      <c r="J901" s="244"/>
    </row>
    <row r="902" spans="1:10">
      <c r="A902" s="245"/>
      <c r="D902" s="245"/>
      <c r="F902" s="389"/>
      <c r="G902" s="244"/>
      <c r="H902" s="244"/>
      <c r="I902" s="244"/>
      <c r="J902" s="244"/>
    </row>
    <row r="903" spans="1:10">
      <c r="A903" s="245"/>
      <c r="D903" s="245"/>
      <c r="F903" s="389"/>
      <c r="G903" s="244"/>
      <c r="H903" s="244"/>
      <c r="I903" s="244"/>
      <c r="J903" s="244"/>
    </row>
    <row r="904" spans="1:10">
      <c r="A904" s="245"/>
      <c r="D904" s="245"/>
      <c r="F904" s="389"/>
      <c r="G904" s="244"/>
      <c r="H904" s="244"/>
      <c r="I904" s="244"/>
      <c r="J904" s="244"/>
    </row>
    <row r="905" spans="1:10">
      <c r="A905" s="245"/>
      <c r="D905" s="245"/>
      <c r="F905" s="389"/>
      <c r="G905" s="244"/>
      <c r="H905" s="244"/>
      <c r="I905" s="244"/>
      <c r="J905" s="244"/>
    </row>
    <row r="906" spans="1:10">
      <c r="A906" s="245"/>
      <c r="D906" s="245"/>
      <c r="F906" s="389"/>
      <c r="G906" s="244"/>
      <c r="H906" s="244"/>
      <c r="I906" s="244"/>
      <c r="J906" s="244"/>
    </row>
    <row r="907" spans="1:10">
      <c r="A907" s="245"/>
      <c r="D907" s="245"/>
      <c r="F907" s="389"/>
      <c r="G907" s="244"/>
      <c r="H907" s="244"/>
      <c r="I907" s="244"/>
      <c r="J907" s="244"/>
    </row>
    <row r="908" spans="1:10">
      <c r="A908" s="245"/>
      <c r="D908" s="245"/>
      <c r="F908" s="389"/>
      <c r="G908" s="244"/>
      <c r="H908" s="244"/>
      <c r="I908" s="244"/>
      <c r="J908" s="244"/>
    </row>
    <row r="909" spans="1:10">
      <c r="A909" s="245"/>
      <c r="D909" s="245"/>
      <c r="F909" s="389"/>
      <c r="G909" s="244"/>
      <c r="H909" s="244"/>
      <c r="I909" s="244"/>
      <c r="J909" s="244"/>
    </row>
    <row r="910" spans="1:10">
      <c r="A910" s="245"/>
      <c r="D910" s="245"/>
      <c r="F910" s="389"/>
      <c r="G910" s="244"/>
      <c r="H910" s="244"/>
      <c r="I910" s="244"/>
      <c r="J910" s="244"/>
    </row>
    <row r="911" spans="1:10">
      <c r="A911" s="245"/>
      <c r="D911" s="245"/>
      <c r="F911" s="389"/>
      <c r="G911" s="244"/>
      <c r="H911" s="244"/>
      <c r="I911" s="244"/>
      <c r="J911" s="244"/>
    </row>
    <row r="912" spans="1:10">
      <c r="A912" s="245"/>
      <c r="D912" s="245"/>
      <c r="F912" s="389"/>
      <c r="G912" s="244"/>
      <c r="H912" s="244"/>
      <c r="I912" s="244"/>
      <c r="J912" s="244"/>
    </row>
    <row r="913" spans="1:10">
      <c r="A913" s="245"/>
      <c r="D913" s="245"/>
      <c r="F913" s="389"/>
      <c r="G913" s="244"/>
      <c r="H913" s="244"/>
      <c r="I913" s="244"/>
      <c r="J913" s="244"/>
    </row>
    <row r="914" spans="1:10">
      <c r="A914" s="245"/>
      <c r="D914" s="245"/>
      <c r="F914" s="389"/>
      <c r="G914" s="244"/>
      <c r="H914" s="244"/>
      <c r="I914" s="244"/>
      <c r="J914" s="244"/>
    </row>
    <row r="915" spans="1:10">
      <c r="A915" s="245"/>
      <c r="D915" s="245"/>
      <c r="F915" s="389"/>
      <c r="G915" s="244"/>
      <c r="H915" s="244"/>
      <c r="I915" s="244"/>
      <c r="J915" s="244"/>
    </row>
    <row r="916" spans="1:10">
      <c r="A916" s="245"/>
      <c r="D916" s="245"/>
      <c r="F916" s="389"/>
      <c r="G916" s="244"/>
      <c r="H916" s="244"/>
      <c r="I916" s="244"/>
      <c r="J916" s="244"/>
    </row>
    <row r="917" spans="1:10">
      <c r="A917" s="245"/>
      <c r="D917" s="245"/>
      <c r="F917" s="389"/>
      <c r="G917" s="244"/>
      <c r="H917" s="244"/>
      <c r="I917" s="244"/>
      <c r="J917" s="244"/>
    </row>
    <row r="918" spans="1:10">
      <c r="A918" s="245"/>
      <c r="D918" s="245"/>
      <c r="F918" s="389"/>
      <c r="G918" s="244"/>
      <c r="H918" s="244"/>
      <c r="I918" s="244"/>
      <c r="J918" s="244"/>
    </row>
    <row r="919" spans="1:10">
      <c r="A919" s="245"/>
      <c r="D919" s="245"/>
      <c r="F919" s="389"/>
      <c r="G919" s="244"/>
      <c r="H919" s="244"/>
      <c r="I919" s="244"/>
      <c r="J919" s="244"/>
    </row>
    <row r="920" spans="1:10">
      <c r="A920" s="245"/>
      <c r="D920" s="245"/>
      <c r="F920" s="389"/>
      <c r="G920" s="244"/>
      <c r="H920" s="244"/>
      <c r="I920" s="244"/>
      <c r="J920" s="244"/>
    </row>
    <row r="921" spans="1:10">
      <c r="A921" s="245"/>
      <c r="D921" s="245"/>
      <c r="F921" s="389"/>
      <c r="G921" s="244"/>
      <c r="H921" s="244"/>
      <c r="I921" s="244"/>
      <c r="J921" s="244"/>
    </row>
    <row r="922" spans="1:10">
      <c r="A922" s="245"/>
      <c r="D922" s="245"/>
      <c r="F922" s="389"/>
      <c r="G922" s="244"/>
      <c r="H922" s="244"/>
      <c r="I922" s="244"/>
      <c r="J922" s="244"/>
    </row>
    <row r="923" spans="1:10">
      <c r="A923" s="245"/>
      <c r="D923" s="245"/>
      <c r="F923" s="389"/>
      <c r="G923" s="244"/>
      <c r="H923" s="244"/>
      <c r="I923" s="244"/>
      <c r="J923" s="244"/>
    </row>
    <row r="924" spans="1:10">
      <c r="A924" s="245"/>
      <c r="D924" s="245"/>
      <c r="F924" s="389"/>
      <c r="G924" s="244"/>
      <c r="H924" s="244"/>
      <c r="I924" s="244"/>
      <c r="J924" s="244"/>
    </row>
    <row r="925" spans="1:10">
      <c r="A925" s="245"/>
      <c r="D925" s="245"/>
      <c r="F925" s="389"/>
      <c r="G925" s="244"/>
      <c r="H925" s="244"/>
      <c r="I925" s="244"/>
      <c r="J925" s="244"/>
    </row>
    <row r="926" spans="1:10">
      <c r="A926" s="245"/>
      <c r="D926" s="245"/>
      <c r="F926" s="389"/>
      <c r="G926" s="244"/>
      <c r="H926" s="244"/>
      <c r="I926" s="244"/>
      <c r="J926" s="244"/>
    </row>
    <row r="927" spans="1:10">
      <c r="A927" s="245"/>
      <c r="D927" s="245"/>
      <c r="F927" s="389"/>
      <c r="G927" s="244"/>
      <c r="H927" s="244"/>
      <c r="I927" s="244"/>
      <c r="J927" s="244"/>
    </row>
    <row r="928" spans="1:10">
      <c r="A928" s="245"/>
      <c r="D928" s="245"/>
      <c r="F928" s="389"/>
      <c r="G928" s="244"/>
      <c r="H928" s="244"/>
      <c r="I928" s="244"/>
      <c r="J928" s="244"/>
    </row>
    <row r="929" spans="1:10">
      <c r="A929" s="245"/>
      <c r="D929" s="245"/>
      <c r="F929" s="389"/>
      <c r="G929" s="244"/>
      <c r="H929" s="244"/>
      <c r="I929" s="244"/>
      <c r="J929" s="244"/>
    </row>
    <row r="930" spans="1:10">
      <c r="A930" s="245"/>
      <c r="D930" s="245"/>
      <c r="F930" s="389"/>
      <c r="G930" s="244"/>
      <c r="H930" s="244"/>
      <c r="I930" s="244"/>
      <c r="J930" s="244"/>
    </row>
    <row r="931" spans="1:10">
      <c r="A931" s="245"/>
      <c r="D931" s="245"/>
      <c r="F931" s="389"/>
      <c r="G931" s="244"/>
      <c r="H931" s="244"/>
      <c r="I931" s="244"/>
      <c r="J931" s="244"/>
    </row>
    <row r="932" spans="1:10">
      <c r="A932" s="245"/>
      <c r="D932" s="245"/>
      <c r="F932" s="389"/>
      <c r="G932" s="244"/>
      <c r="H932" s="244"/>
      <c r="I932" s="244"/>
      <c r="J932" s="244"/>
    </row>
    <row r="933" spans="1:10">
      <c r="A933" s="245"/>
      <c r="D933" s="245"/>
      <c r="F933" s="389"/>
      <c r="G933" s="244"/>
      <c r="H933" s="244"/>
      <c r="I933" s="244"/>
      <c r="J933" s="244"/>
    </row>
    <row r="934" spans="1:10">
      <c r="A934" s="245"/>
      <c r="D934" s="245"/>
      <c r="F934" s="389"/>
      <c r="G934" s="244"/>
      <c r="H934" s="244"/>
      <c r="I934" s="244"/>
      <c r="J934" s="244"/>
    </row>
    <row r="935" spans="1:10">
      <c r="A935" s="245"/>
      <c r="D935" s="245"/>
      <c r="F935" s="389"/>
      <c r="G935" s="244"/>
      <c r="H935" s="244"/>
      <c r="I935" s="244"/>
      <c r="J935" s="244"/>
    </row>
    <row r="936" spans="1:10">
      <c r="A936" s="245"/>
      <c r="D936" s="245"/>
      <c r="F936" s="389"/>
      <c r="G936" s="244"/>
      <c r="H936" s="244"/>
      <c r="I936" s="244"/>
      <c r="J936" s="244"/>
    </row>
    <row r="937" spans="1:10">
      <c r="A937" s="245"/>
      <c r="D937" s="245"/>
      <c r="F937" s="389"/>
      <c r="G937" s="244"/>
      <c r="H937" s="244"/>
      <c r="I937" s="244"/>
      <c r="J937" s="244"/>
    </row>
    <row r="938" spans="1:10">
      <c r="A938" s="245"/>
      <c r="D938" s="245"/>
      <c r="F938" s="389"/>
      <c r="G938" s="244"/>
      <c r="H938" s="244"/>
      <c r="I938" s="244"/>
      <c r="J938" s="244"/>
    </row>
    <row r="939" spans="1:10">
      <c r="A939" s="245"/>
      <c r="D939" s="245"/>
      <c r="F939" s="389"/>
      <c r="G939" s="244"/>
      <c r="H939" s="244"/>
      <c r="I939" s="244"/>
      <c r="J939" s="244"/>
    </row>
    <row r="940" spans="1:10">
      <c r="A940" s="245"/>
      <c r="D940" s="245"/>
      <c r="F940" s="389"/>
      <c r="G940" s="244"/>
      <c r="H940" s="244"/>
      <c r="I940" s="244"/>
      <c r="J940" s="244"/>
    </row>
    <row r="941" spans="1:10">
      <c r="A941" s="245"/>
      <c r="D941" s="245"/>
      <c r="F941" s="389"/>
      <c r="G941" s="244"/>
      <c r="H941" s="244"/>
      <c r="I941" s="244"/>
      <c r="J941" s="244"/>
    </row>
    <row r="942" spans="1:10">
      <c r="A942" s="245"/>
      <c r="D942" s="245"/>
      <c r="F942" s="389"/>
      <c r="G942" s="244"/>
      <c r="H942" s="244"/>
      <c r="I942" s="244"/>
      <c r="J942" s="244"/>
    </row>
    <row r="943" spans="1:10">
      <c r="A943" s="245"/>
      <c r="D943" s="245"/>
      <c r="F943" s="389"/>
      <c r="G943" s="244"/>
      <c r="H943" s="244"/>
      <c r="I943" s="244"/>
      <c r="J943" s="244"/>
    </row>
    <row r="944" spans="1:10">
      <c r="A944" s="245"/>
      <c r="D944" s="245"/>
      <c r="F944" s="389"/>
      <c r="G944" s="244"/>
      <c r="H944" s="244"/>
      <c r="I944" s="244"/>
      <c r="J944" s="244"/>
    </row>
    <row r="945" spans="1:10">
      <c r="A945" s="245"/>
      <c r="D945" s="245"/>
      <c r="F945" s="389"/>
      <c r="G945" s="244"/>
      <c r="H945" s="244"/>
      <c r="I945" s="244"/>
      <c r="J945" s="244"/>
    </row>
    <row r="946" spans="1:10">
      <c r="A946" s="245"/>
      <c r="D946" s="245"/>
      <c r="F946" s="389"/>
      <c r="G946" s="244"/>
      <c r="H946" s="244"/>
      <c r="I946" s="244"/>
      <c r="J946" s="244"/>
    </row>
    <row r="947" spans="1:10">
      <c r="A947" s="245"/>
      <c r="D947" s="245"/>
      <c r="F947" s="389"/>
      <c r="G947" s="244"/>
      <c r="H947" s="244"/>
      <c r="I947" s="244"/>
      <c r="J947" s="244"/>
    </row>
    <row r="948" spans="1:10">
      <c r="A948" s="245"/>
      <c r="D948" s="245"/>
      <c r="F948" s="389"/>
      <c r="G948" s="244"/>
      <c r="H948" s="244"/>
      <c r="I948" s="244"/>
      <c r="J948" s="244"/>
    </row>
    <row r="949" spans="1:10">
      <c r="A949" s="245"/>
      <c r="D949" s="245"/>
      <c r="F949" s="389"/>
      <c r="G949" s="244"/>
      <c r="H949" s="244"/>
      <c r="I949" s="244"/>
      <c r="J949" s="244"/>
    </row>
    <row r="950" spans="1:10">
      <c r="A950" s="245"/>
      <c r="D950" s="245"/>
      <c r="F950" s="389"/>
      <c r="G950" s="244"/>
      <c r="H950" s="244"/>
      <c r="I950" s="244"/>
      <c r="J950" s="244"/>
    </row>
    <row r="951" spans="1:10">
      <c r="A951" s="245"/>
      <c r="D951" s="245"/>
      <c r="F951" s="389"/>
      <c r="G951" s="244"/>
      <c r="H951" s="244"/>
      <c r="I951" s="244"/>
      <c r="J951" s="244"/>
    </row>
    <row r="952" spans="1:10">
      <c r="A952" s="245"/>
      <c r="D952" s="245"/>
      <c r="F952" s="389"/>
      <c r="G952" s="244"/>
      <c r="H952" s="244"/>
      <c r="I952" s="244"/>
      <c r="J952" s="244"/>
    </row>
    <row r="953" spans="1:10">
      <c r="A953" s="245"/>
      <c r="D953" s="245"/>
      <c r="F953" s="389"/>
      <c r="G953" s="244"/>
      <c r="H953" s="244"/>
      <c r="I953" s="244"/>
      <c r="J953" s="244"/>
    </row>
    <row r="954" spans="1:10">
      <c r="A954" s="245"/>
      <c r="D954" s="245"/>
      <c r="F954" s="389"/>
      <c r="G954" s="244"/>
      <c r="H954" s="244"/>
      <c r="I954" s="244"/>
      <c r="J954" s="244"/>
    </row>
    <row r="955" spans="1:10">
      <c r="A955" s="245"/>
      <c r="D955" s="245"/>
      <c r="F955" s="389"/>
      <c r="G955" s="244"/>
      <c r="H955" s="244"/>
      <c r="I955" s="244"/>
      <c r="J955" s="244"/>
    </row>
    <row r="956" spans="1:10">
      <c r="A956" s="245"/>
      <c r="D956" s="245"/>
      <c r="F956" s="389"/>
      <c r="G956" s="244"/>
      <c r="H956" s="244"/>
      <c r="I956" s="244"/>
      <c r="J956" s="244"/>
    </row>
    <row r="957" spans="1:10">
      <c r="A957" s="245"/>
      <c r="D957" s="245"/>
      <c r="F957" s="389"/>
      <c r="G957" s="244"/>
      <c r="H957" s="244"/>
      <c r="I957" s="244"/>
      <c r="J957" s="244"/>
    </row>
    <row r="958" spans="1:10">
      <c r="A958" s="245"/>
      <c r="D958" s="245"/>
      <c r="F958" s="389"/>
      <c r="G958" s="244"/>
      <c r="H958" s="244"/>
      <c r="I958" s="244"/>
      <c r="J958" s="244"/>
    </row>
    <row r="959" spans="1:10">
      <c r="A959" s="245"/>
      <c r="D959" s="245"/>
      <c r="F959" s="389"/>
      <c r="G959" s="244"/>
      <c r="H959" s="244"/>
      <c r="I959" s="244"/>
      <c r="J959" s="244"/>
    </row>
    <row r="960" spans="1:10">
      <c r="A960" s="245"/>
      <c r="D960" s="245"/>
      <c r="F960" s="389"/>
      <c r="G960" s="244"/>
      <c r="H960" s="244"/>
      <c r="I960" s="244"/>
      <c r="J960" s="244"/>
    </row>
    <row r="961" spans="1:10">
      <c r="A961" s="245"/>
      <c r="D961" s="245"/>
      <c r="F961" s="389"/>
      <c r="G961" s="244"/>
      <c r="H961" s="244"/>
      <c r="I961" s="244"/>
      <c r="J961" s="244"/>
    </row>
    <row r="962" spans="1:10">
      <c r="A962" s="245"/>
      <c r="D962" s="245"/>
      <c r="F962" s="389"/>
      <c r="G962" s="244"/>
      <c r="H962" s="244"/>
      <c r="I962" s="244"/>
      <c r="J962" s="244"/>
    </row>
    <row r="963" spans="1:10">
      <c r="A963" s="245"/>
      <c r="D963" s="245"/>
      <c r="F963" s="389"/>
      <c r="G963" s="244"/>
      <c r="H963" s="244"/>
      <c r="I963" s="244"/>
      <c r="J963" s="244"/>
    </row>
    <row r="964" spans="1:10">
      <c r="A964" s="245"/>
      <c r="D964" s="245"/>
      <c r="F964" s="389"/>
      <c r="G964" s="244"/>
      <c r="H964" s="244"/>
      <c r="I964" s="244"/>
      <c r="J964" s="244"/>
    </row>
    <row r="965" spans="1:10">
      <c r="A965" s="245"/>
      <c r="D965" s="245"/>
      <c r="F965" s="389"/>
      <c r="G965" s="244"/>
      <c r="H965" s="244"/>
      <c r="I965" s="244"/>
      <c r="J965" s="244"/>
    </row>
    <row r="966" spans="1:10">
      <c r="A966" s="245"/>
      <c r="D966" s="245"/>
      <c r="F966" s="389"/>
      <c r="G966" s="244"/>
      <c r="H966" s="244"/>
      <c r="I966" s="244"/>
      <c r="J966" s="244"/>
    </row>
    <row r="967" spans="1:10">
      <c r="A967" s="245"/>
      <c r="D967" s="245"/>
      <c r="F967" s="389"/>
      <c r="G967" s="244"/>
      <c r="H967" s="244"/>
      <c r="I967" s="244"/>
      <c r="J967" s="244"/>
    </row>
    <row r="968" spans="1:10">
      <c r="A968" s="245"/>
      <c r="D968" s="245"/>
      <c r="F968" s="389"/>
      <c r="G968" s="244"/>
      <c r="H968" s="244"/>
      <c r="I968" s="244"/>
      <c r="J968" s="244"/>
    </row>
    <row r="969" spans="1:10">
      <c r="A969" s="245"/>
      <c r="D969" s="245"/>
      <c r="F969" s="389"/>
      <c r="G969" s="244"/>
      <c r="H969" s="244"/>
      <c r="I969" s="244"/>
      <c r="J969" s="244"/>
    </row>
    <row r="970" spans="1:10">
      <c r="A970" s="245"/>
      <c r="D970" s="245"/>
      <c r="F970" s="389"/>
      <c r="G970" s="244"/>
      <c r="H970" s="244"/>
      <c r="I970" s="244"/>
      <c r="J970" s="244"/>
    </row>
    <row r="971" spans="1:10">
      <c r="A971" s="245"/>
      <c r="D971" s="245"/>
      <c r="F971" s="389"/>
      <c r="G971" s="244"/>
      <c r="H971" s="244"/>
      <c r="I971" s="244"/>
      <c r="J971" s="244"/>
    </row>
    <row r="972" spans="1:10">
      <c r="A972" s="245"/>
      <c r="D972" s="245"/>
      <c r="F972" s="389"/>
      <c r="G972" s="244"/>
      <c r="H972" s="244"/>
      <c r="I972" s="244"/>
      <c r="J972" s="244"/>
    </row>
    <row r="973" spans="1:10">
      <c r="A973" s="245"/>
      <c r="D973" s="245"/>
      <c r="F973" s="389"/>
      <c r="G973" s="244"/>
      <c r="H973" s="244"/>
      <c r="I973" s="244"/>
      <c r="J973" s="244"/>
    </row>
    <row r="974" spans="1:10">
      <c r="A974" s="245"/>
      <c r="D974" s="245"/>
      <c r="F974" s="389"/>
      <c r="G974" s="244"/>
      <c r="H974" s="244"/>
      <c r="I974" s="244"/>
      <c r="J974" s="244"/>
    </row>
    <row r="975" spans="1:10">
      <c r="A975" s="245"/>
      <c r="D975" s="245"/>
      <c r="F975" s="389"/>
      <c r="G975" s="244"/>
      <c r="H975" s="244"/>
      <c r="I975" s="244"/>
      <c r="J975" s="244"/>
    </row>
    <row r="976" spans="1:10">
      <c r="A976" s="245"/>
      <c r="D976" s="245"/>
      <c r="F976" s="389"/>
      <c r="G976" s="244"/>
      <c r="H976" s="244"/>
      <c r="I976" s="244"/>
      <c r="J976" s="244"/>
    </row>
    <row r="977" spans="1:10">
      <c r="A977" s="245"/>
      <c r="D977" s="245"/>
      <c r="F977" s="389"/>
      <c r="G977" s="244"/>
      <c r="H977" s="244"/>
      <c r="I977" s="244"/>
      <c r="J977" s="244"/>
    </row>
    <row r="978" spans="1:10">
      <c r="A978" s="245"/>
      <c r="D978" s="245"/>
      <c r="F978" s="389"/>
      <c r="G978" s="244"/>
      <c r="H978" s="244"/>
      <c r="I978" s="244"/>
      <c r="J978" s="244"/>
    </row>
    <row r="979" spans="1:10">
      <c r="A979" s="245"/>
      <c r="D979" s="245"/>
      <c r="F979" s="389"/>
      <c r="G979" s="244"/>
      <c r="H979" s="244"/>
      <c r="I979" s="244"/>
      <c r="J979" s="244"/>
    </row>
    <row r="980" spans="1:10">
      <c r="A980" s="245"/>
      <c r="D980" s="245"/>
      <c r="F980" s="389"/>
      <c r="G980" s="244"/>
      <c r="H980" s="244"/>
      <c r="I980" s="244"/>
      <c r="J980" s="244"/>
    </row>
    <row r="981" spans="1:10">
      <c r="A981" s="245"/>
      <c r="D981" s="245"/>
      <c r="F981" s="389"/>
      <c r="G981" s="244"/>
      <c r="H981" s="244"/>
      <c r="I981" s="244"/>
      <c r="J981" s="244"/>
    </row>
    <row r="982" spans="1:10">
      <c r="A982" s="245"/>
      <c r="D982" s="245"/>
      <c r="F982" s="389"/>
      <c r="G982" s="244"/>
      <c r="H982" s="244"/>
      <c r="I982" s="244"/>
      <c r="J982" s="244"/>
    </row>
    <row r="983" spans="1:10">
      <c r="A983" s="245"/>
      <c r="D983" s="245"/>
      <c r="F983" s="389"/>
      <c r="G983" s="244"/>
      <c r="H983" s="244"/>
      <c r="I983" s="244"/>
      <c r="J983" s="244"/>
    </row>
    <row r="984" spans="1:10">
      <c r="A984" s="245"/>
      <c r="D984" s="245"/>
      <c r="F984" s="389"/>
      <c r="G984" s="244"/>
      <c r="H984" s="244"/>
      <c r="I984" s="244"/>
      <c r="J984" s="244"/>
    </row>
    <row r="985" spans="1:10">
      <c r="A985" s="245"/>
      <c r="D985" s="245"/>
      <c r="F985" s="389"/>
      <c r="G985" s="244"/>
      <c r="H985" s="244"/>
      <c r="I985" s="244"/>
      <c r="J985" s="244"/>
    </row>
    <row r="986" spans="1:10">
      <c r="A986" s="245"/>
      <c r="D986" s="245"/>
      <c r="F986" s="389"/>
      <c r="G986" s="244"/>
      <c r="H986" s="244"/>
      <c r="I986" s="244"/>
      <c r="J986" s="244"/>
    </row>
    <row r="987" spans="1:10">
      <c r="A987" s="245"/>
      <c r="D987" s="245"/>
      <c r="F987" s="389"/>
      <c r="G987" s="244"/>
      <c r="H987" s="244"/>
      <c r="I987" s="244"/>
      <c r="J987" s="244"/>
    </row>
    <row r="988" spans="1:10">
      <c r="A988" s="245"/>
      <c r="D988" s="245"/>
      <c r="F988" s="389"/>
      <c r="G988" s="244"/>
      <c r="H988" s="244"/>
      <c r="I988" s="244"/>
      <c r="J988" s="244"/>
    </row>
    <row r="989" spans="1:10">
      <c r="A989" s="245"/>
      <c r="D989" s="245"/>
      <c r="F989" s="389"/>
      <c r="G989" s="244"/>
      <c r="H989" s="244"/>
      <c r="I989" s="244"/>
      <c r="J989" s="244"/>
    </row>
    <row r="990" spans="1:10">
      <c r="A990" s="245"/>
      <c r="D990" s="245"/>
      <c r="F990" s="389"/>
      <c r="G990" s="244"/>
      <c r="H990" s="244"/>
      <c r="I990" s="244"/>
      <c r="J990" s="244"/>
    </row>
    <row r="991" spans="1:10">
      <c r="A991" s="245"/>
      <c r="D991" s="245"/>
      <c r="F991" s="389"/>
      <c r="G991" s="244"/>
      <c r="H991" s="244"/>
      <c r="I991" s="244"/>
      <c r="J991" s="244"/>
    </row>
    <row r="992" spans="1:10">
      <c r="A992" s="245"/>
      <c r="D992" s="245"/>
      <c r="F992" s="389"/>
      <c r="G992" s="244"/>
      <c r="H992" s="244"/>
      <c r="I992" s="244"/>
      <c r="J992" s="244"/>
    </row>
    <row r="993" spans="1:10">
      <c r="A993" s="245"/>
      <c r="D993" s="245"/>
      <c r="F993" s="389"/>
      <c r="G993" s="244"/>
      <c r="H993" s="244"/>
      <c r="I993" s="244"/>
      <c r="J993" s="244"/>
    </row>
    <row r="994" spans="1:10">
      <c r="A994" s="245"/>
      <c r="D994" s="245"/>
      <c r="F994" s="389"/>
      <c r="G994" s="244"/>
      <c r="H994" s="244"/>
      <c r="I994" s="244"/>
      <c r="J994" s="244"/>
    </row>
    <row r="995" spans="1:10">
      <c r="A995" s="245"/>
      <c r="D995" s="245"/>
      <c r="F995" s="389"/>
      <c r="G995" s="244"/>
      <c r="H995" s="244"/>
      <c r="I995" s="244"/>
      <c r="J995" s="244"/>
    </row>
    <row r="996" spans="1:10">
      <c r="A996" s="245"/>
      <c r="D996" s="245"/>
      <c r="F996" s="389"/>
      <c r="G996" s="244"/>
      <c r="H996" s="244"/>
      <c r="I996" s="244"/>
      <c r="J996" s="244"/>
    </row>
    <row r="997" spans="1:10">
      <c r="A997" s="245"/>
      <c r="D997" s="245"/>
      <c r="F997" s="389"/>
      <c r="G997" s="244"/>
      <c r="H997" s="244"/>
      <c r="I997" s="244"/>
      <c r="J997" s="244"/>
    </row>
    <row r="998" spans="1:10">
      <c r="A998" s="245"/>
      <c r="D998" s="245"/>
      <c r="F998" s="389"/>
      <c r="G998" s="244"/>
      <c r="H998" s="244"/>
      <c r="I998" s="244"/>
      <c r="J998" s="244"/>
    </row>
    <row r="999" spans="1:10">
      <c r="A999" s="245"/>
      <c r="D999" s="245"/>
      <c r="F999" s="389"/>
      <c r="G999" s="244"/>
      <c r="H999" s="244"/>
      <c r="I999" s="244"/>
      <c r="J999" s="244"/>
    </row>
    <row r="1000" spans="1:10">
      <c r="A1000" s="245"/>
      <c r="D1000" s="245"/>
      <c r="F1000" s="389"/>
      <c r="G1000" s="244"/>
      <c r="H1000" s="244"/>
      <c r="I1000" s="244"/>
      <c r="J1000" s="244"/>
    </row>
    <row r="1001" spans="1:10">
      <c r="A1001" s="245"/>
      <c r="D1001" s="245"/>
      <c r="F1001" s="389"/>
      <c r="G1001" s="244"/>
      <c r="H1001" s="244"/>
      <c r="I1001" s="244"/>
      <c r="J1001" s="244"/>
    </row>
    <row r="1002" spans="1:10">
      <c r="A1002" s="245"/>
      <c r="D1002" s="245"/>
      <c r="F1002" s="389"/>
      <c r="G1002" s="244"/>
      <c r="H1002" s="244"/>
      <c r="I1002" s="244"/>
      <c r="J1002" s="244"/>
    </row>
    <row r="1003" spans="1:10">
      <c r="A1003" s="245"/>
      <c r="D1003" s="245"/>
      <c r="F1003" s="389"/>
      <c r="G1003" s="244"/>
      <c r="H1003" s="244"/>
      <c r="I1003" s="244"/>
      <c r="J1003" s="244"/>
    </row>
    <row r="1004" spans="1:10">
      <c r="A1004" s="245"/>
      <c r="D1004" s="245"/>
      <c r="F1004" s="389"/>
      <c r="G1004" s="244"/>
      <c r="H1004" s="244"/>
      <c r="I1004" s="244"/>
      <c r="J1004" s="244"/>
    </row>
    <row r="1005" spans="1:10">
      <c r="A1005" s="245"/>
      <c r="D1005" s="245"/>
      <c r="F1005" s="389"/>
      <c r="G1005" s="244"/>
      <c r="H1005" s="244"/>
      <c r="I1005" s="244"/>
      <c r="J1005" s="244"/>
    </row>
    <row r="1006" spans="1:10">
      <c r="A1006" s="245"/>
      <c r="D1006" s="245"/>
      <c r="F1006" s="389"/>
      <c r="G1006" s="244"/>
      <c r="H1006" s="244"/>
      <c r="I1006" s="244"/>
      <c r="J1006" s="244"/>
    </row>
    <row r="1007" spans="1:10">
      <c r="A1007" s="245"/>
      <c r="D1007" s="245"/>
      <c r="F1007" s="389"/>
      <c r="G1007" s="244"/>
      <c r="H1007" s="244"/>
      <c r="I1007" s="244"/>
      <c r="J1007" s="244"/>
    </row>
    <row r="1008" spans="1:10">
      <c r="A1008" s="245"/>
      <c r="D1008" s="245"/>
      <c r="F1008" s="389"/>
      <c r="G1008" s="244"/>
      <c r="H1008" s="244"/>
      <c r="I1008" s="244"/>
      <c r="J1008" s="244"/>
    </row>
    <row r="1009" spans="1:10">
      <c r="A1009" s="245"/>
      <c r="D1009" s="245"/>
      <c r="F1009" s="389"/>
      <c r="G1009" s="244"/>
      <c r="H1009" s="244"/>
      <c r="I1009" s="244"/>
      <c r="J1009" s="244"/>
    </row>
    <row r="1010" spans="1:10">
      <c r="A1010" s="245"/>
      <c r="D1010" s="245"/>
      <c r="F1010" s="389"/>
      <c r="G1010" s="244"/>
      <c r="H1010" s="244"/>
      <c r="I1010" s="244"/>
      <c r="J1010" s="244"/>
    </row>
    <row r="1011" spans="1:10">
      <c r="A1011" s="245"/>
      <c r="D1011" s="245"/>
      <c r="F1011" s="389"/>
      <c r="G1011" s="244"/>
      <c r="H1011" s="244"/>
      <c r="I1011" s="244"/>
      <c r="J1011" s="244"/>
    </row>
    <row r="1012" spans="1:10">
      <c r="A1012" s="245"/>
      <c r="D1012" s="245"/>
      <c r="F1012" s="389"/>
      <c r="G1012" s="244"/>
      <c r="H1012" s="244"/>
      <c r="I1012" s="244"/>
      <c r="J1012" s="244"/>
    </row>
    <row r="1013" spans="1:10">
      <c r="A1013" s="245"/>
      <c r="D1013" s="245"/>
      <c r="F1013" s="389"/>
      <c r="G1013" s="244"/>
      <c r="H1013" s="244"/>
      <c r="I1013" s="244"/>
      <c r="J1013" s="244"/>
    </row>
    <row r="1014" spans="1:10">
      <c r="A1014" s="245"/>
      <c r="D1014" s="245"/>
      <c r="F1014" s="389"/>
      <c r="G1014" s="244"/>
      <c r="H1014" s="244"/>
      <c r="I1014" s="244"/>
      <c r="J1014" s="244"/>
    </row>
    <row r="1015" spans="1:10">
      <c r="A1015" s="245"/>
      <c r="D1015" s="245"/>
      <c r="F1015" s="389"/>
      <c r="G1015" s="244"/>
      <c r="H1015" s="244"/>
      <c r="I1015" s="244"/>
      <c r="J1015" s="244"/>
    </row>
    <row r="1016" spans="1:10">
      <c r="A1016" s="245"/>
      <c r="D1016" s="245"/>
      <c r="F1016" s="389"/>
      <c r="G1016" s="244"/>
      <c r="H1016" s="244"/>
      <c r="I1016" s="244"/>
      <c r="J1016" s="244"/>
    </row>
    <row r="1017" spans="1:10">
      <c r="A1017" s="245"/>
      <c r="D1017" s="245"/>
      <c r="F1017" s="389"/>
      <c r="G1017" s="244"/>
      <c r="H1017" s="244"/>
      <c r="I1017" s="244"/>
      <c r="J1017" s="244"/>
    </row>
    <row r="1018" spans="1:10">
      <c r="A1018" s="245"/>
      <c r="D1018" s="245"/>
      <c r="F1018" s="389"/>
      <c r="G1018" s="244"/>
      <c r="H1018" s="244"/>
      <c r="I1018" s="244"/>
      <c r="J1018" s="244"/>
    </row>
    <row r="1019" spans="1:10">
      <c r="A1019" s="245"/>
      <c r="D1019" s="245"/>
      <c r="F1019" s="389"/>
      <c r="G1019" s="244"/>
      <c r="H1019" s="244"/>
      <c r="I1019" s="244"/>
      <c r="J1019" s="244"/>
    </row>
    <row r="1020" spans="1:10">
      <c r="A1020" s="245"/>
      <c r="D1020" s="245"/>
      <c r="F1020" s="389"/>
      <c r="G1020" s="244"/>
      <c r="H1020" s="244"/>
      <c r="I1020" s="244"/>
      <c r="J1020" s="244"/>
    </row>
    <row r="1021" spans="1:10">
      <c r="A1021" s="245"/>
      <c r="D1021" s="245"/>
      <c r="F1021" s="389"/>
      <c r="G1021" s="244"/>
      <c r="H1021" s="244"/>
      <c r="I1021" s="244"/>
      <c r="J1021" s="244"/>
    </row>
    <row r="1022" spans="1:10">
      <c r="A1022" s="245"/>
      <c r="D1022" s="245"/>
      <c r="F1022" s="389"/>
      <c r="G1022" s="244"/>
      <c r="H1022" s="244"/>
      <c r="I1022" s="244"/>
      <c r="J1022" s="244"/>
    </row>
    <row r="1023" spans="1:10">
      <c r="A1023" s="245"/>
      <c r="D1023" s="245"/>
      <c r="F1023" s="389"/>
      <c r="G1023" s="244"/>
      <c r="H1023" s="244"/>
      <c r="I1023" s="244"/>
      <c r="J1023" s="244"/>
    </row>
    <row r="1024" spans="1:10">
      <c r="A1024" s="245"/>
      <c r="D1024" s="245"/>
      <c r="F1024" s="389"/>
      <c r="G1024" s="244"/>
      <c r="H1024" s="244"/>
      <c r="I1024" s="244"/>
      <c r="J1024" s="244"/>
    </row>
    <row r="1025" spans="1:10">
      <c r="A1025" s="245"/>
      <c r="D1025" s="245"/>
      <c r="F1025" s="389"/>
      <c r="G1025" s="244"/>
      <c r="H1025" s="244"/>
      <c r="I1025" s="244"/>
      <c r="J1025" s="244"/>
    </row>
    <row r="1026" spans="1:10">
      <c r="A1026" s="245"/>
      <c r="D1026" s="245"/>
      <c r="F1026" s="389"/>
      <c r="G1026" s="244"/>
      <c r="H1026" s="244"/>
      <c r="I1026" s="244"/>
      <c r="J1026" s="244"/>
    </row>
    <row r="1027" spans="1:10">
      <c r="A1027" s="245"/>
      <c r="D1027" s="245"/>
      <c r="F1027" s="389"/>
      <c r="G1027" s="244"/>
      <c r="H1027" s="244"/>
      <c r="I1027" s="244"/>
      <c r="J1027" s="244"/>
    </row>
    <row r="1028" spans="1:10">
      <c r="A1028" s="245"/>
      <c r="D1028" s="245"/>
      <c r="F1028" s="389"/>
      <c r="G1028" s="244"/>
      <c r="H1028" s="244"/>
      <c r="I1028" s="244"/>
      <c r="J1028" s="244"/>
    </row>
    <row r="1029" spans="1:10">
      <c r="A1029" s="245"/>
      <c r="D1029" s="245"/>
      <c r="F1029" s="389"/>
      <c r="G1029" s="244"/>
      <c r="H1029" s="244"/>
      <c r="I1029" s="244"/>
      <c r="J1029" s="244"/>
    </row>
    <row r="1030" spans="1:10">
      <c r="A1030" s="245"/>
      <c r="D1030" s="245"/>
      <c r="F1030" s="389"/>
      <c r="G1030" s="244"/>
      <c r="H1030" s="244"/>
      <c r="I1030" s="244"/>
      <c r="J1030" s="244"/>
    </row>
    <row r="1031" spans="1:10">
      <c r="A1031" s="245"/>
      <c r="D1031" s="245"/>
      <c r="F1031" s="389"/>
      <c r="G1031" s="244"/>
      <c r="H1031" s="244"/>
      <c r="I1031" s="244"/>
      <c r="J1031" s="244"/>
    </row>
    <row r="1032" spans="1:10">
      <c r="A1032" s="245"/>
      <c r="D1032" s="245"/>
      <c r="F1032" s="389"/>
      <c r="G1032" s="244"/>
      <c r="H1032" s="244"/>
      <c r="I1032" s="244"/>
      <c r="J1032" s="244"/>
    </row>
    <row r="1033" spans="1:10">
      <c r="A1033" s="245"/>
      <c r="D1033" s="245"/>
      <c r="F1033" s="389"/>
      <c r="G1033" s="244"/>
      <c r="H1033" s="244"/>
      <c r="I1033" s="244"/>
      <c r="J1033" s="244"/>
    </row>
    <row r="1034" spans="1:10">
      <c r="A1034" s="245"/>
      <c r="D1034" s="245"/>
      <c r="F1034" s="389"/>
      <c r="G1034" s="244"/>
      <c r="H1034" s="244"/>
      <c r="I1034" s="244"/>
      <c r="J1034" s="244"/>
    </row>
    <row r="1035" spans="1:10">
      <c r="A1035" s="245"/>
      <c r="D1035" s="245"/>
      <c r="F1035" s="389"/>
      <c r="G1035" s="244"/>
      <c r="H1035" s="244"/>
      <c r="I1035" s="244"/>
      <c r="J1035" s="244"/>
    </row>
    <row r="1036" spans="1:10">
      <c r="A1036" s="245"/>
      <c r="D1036" s="245"/>
      <c r="F1036" s="389"/>
      <c r="G1036" s="244"/>
      <c r="H1036" s="244"/>
      <c r="I1036" s="244"/>
      <c r="J1036" s="244"/>
    </row>
    <row r="1037" spans="1:10">
      <c r="A1037" s="245"/>
      <c r="D1037" s="245"/>
      <c r="F1037" s="389"/>
      <c r="G1037" s="244"/>
      <c r="H1037" s="244"/>
      <c r="I1037" s="244"/>
      <c r="J1037" s="244"/>
    </row>
    <row r="1038" spans="1:10">
      <c r="A1038" s="245"/>
      <c r="D1038" s="245"/>
      <c r="F1038" s="389"/>
      <c r="G1038" s="244"/>
      <c r="H1038" s="244"/>
      <c r="I1038" s="244"/>
      <c r="J1038" s="244"/>
    </row>
    <row r="1039" spans="1:10">
      <c r="A1039" s="245"/>
      <c r="D1039" s="245"/>
      <c r="F1039" s="389"/>
      <c r="G1039" s="244"/>
      <c r="H1039" s="244"/>
      <c r="I1039" s="244"/>
      <c r="J1039" s="244"/>
    </row>
    <row r="1040" spans="1:10">
      <c r="A1040" s="245"/>
      <c r="D1040" s="245"/>
      <c r="F1040" s="389"/>
      <c r="G1040" s="244"/>
      <c r="H1040" s="244"/>
      <c r="I1040" s="244"/>
      <c r="J1040" s="244"/>
    </row>
    <row r="1041" spans="1:10">
      <c r="A1041" s="245"/>
      <c r="D1041" s="245"/>
      <c r="F1041" s="389"/>
      <c r="G1041" s="244"/>
      <c r="H1041" s="244"/>
      <c r="I1041" s="244"/>
      <c r="J1041" s="244"/>
    </row>
    <row r="1042" spans="1:10">
      <c r="A1042" s="245"/>
      <c r="D1042" s="245"/>
      <c r="F1042" s="389"/>
      <c r="G1042" s="244"/>
      <c r="H1042" s="244"/>
      <c r="I1042" s="244"/>
      <c r="J1042" s="244"/>
    </row>
    <row r="1043" spans="1:10">
      <c r="A1043" s="245"/>
      <c r="D1043" s="245"/>
      <c r="F1043" s="389"/>
      <c r="G1043" s="244"/>
      <c r="H1043" s="244"/>
      <c r="I1043" s="244"/>
      <c r="J1043" s="244"/>
    </row>
    <row r="1044" spans="1:10">
      <c r="A1044" s="245"/>
      <c r="D1044" s="245"/>
      <c r="F1044" s="389"/>
      <c r="G1044" s="244"/>
      <c r="H1044" s="244"/>
      <c r="I1044" s="244"/>
      <c r="J1044" s="244"/>
    </row>
    <row r="1045" spans="1:10">
      <c r="A1045" s="245"/>
      <c r="D1045" s="245"/>
      <c r="F1045" s="389"/>
      <c r="G1045" s="244"/>
      <c r="H1045" s="244"/>
      <c r="I1045" s="244"/>
      <c r="J1045" s="244"/>
    </row>
    <row r="1046" spans="1:10">
      <c r="A1046" s="245"/>
      <c r="D1046" s="245"/>
      <c r="F1046" s="389"/>
      <c r="G1046" s="244"/>
      <c r="H1046" s="244"/>
      <c r="I1046" s="244"/>
      <c r="J1046" s="244"/>
    </row>
    <row r="1047" spans="1:10">
      <c r="A1047" s="245"/>
      <c r="D1047" s="245"/>
      <c r="F1047" s="389"/>
      <c r="G1047" s="244"/>
      <c r="H1047" s="244"/>
      <c r="I1047" s="244"/>
      <c r="J1047" s="244"/>
    </row>
    <row r="1048" spans="1:10">
      <c r="A1048" s="245"/>
      <c r="D1048" s="245"/>
      <c r="F1048" s="389"/>
      <c r="G1048" s="244"/>
      <c r="H1048" s="244"/>
      <c r="I1048" s="244"/>
      <c r="J1048" s="244"/>
    </row>
    <row r="1049" spans="1:10">
      <c r="A1049" s="245"/>
      <c r="D1049" s="245"/>
      <c r="F1049" s="389"/>
      <c r="G1049" s="244"/>
      <c r="H1049" s="244"/>
      <c r="I1049" s="244"/>
      <c r="J1049" s="244"/>
    </row>
    <row r="1050" spans="1:10">
      <c r="A1050" s="245"/>
      <c r="D1050" s="245"/>
      <c r="F1050" s="389"/>
      <c r="G1050" s="244"/>
      <c r="H1050" s="244"/>
      <c r="I1050" s="244"/>
      <c r="J1050" s="244"/>
    </row>
    <row r="1051" spans="1:10">
      <c r="A1051" s="245"/>
      <c r="D1051" s="245"/>
      <c r="F1051" s="389"/>
      <c r="G1051" s="244"/>
      <c r="H1051" s="244"/>
      <c r="I1051" s="244"/>
      <c r="J1051" s="244"/>
    </row>
    <row r="1052" spans="1:10">
      <c r="A1052" s="245"/>
      <c r="D1052" s="245"/>
      <c r="F1052" s="389"/>
      <c r="G1052" s="244"/>
      <c r="H1052" s="244"/>
      <c r="I1052" s="244"/>
      <c r="J1052" s="244"/>
    </row>
    <row r="1053" spans="1:10">
      <c r="A1053" s="245"/>
      <c r="D1053" s="245"/>
      <c r="F1053" s="389"/>
      <c r="G1053" s="244"/>
      <c r="H1053" s="244"/>
      <c r="I1053" s="244"/>
      <c r="J1053" s="244"/>
    </row>
    <row r="1054" spans="1:10">
      <c r="A1054" s="245"/>
      <c r="D1054" s="245"/>
      <c r="F1054" s="389"/>
      <c r="G1054" s="244"/>
      <c r="H1054" s="244"/>
      <c r="I1054" s="244"/>
      <c r="J1054" s="244"/>
    </row>
    <row r="1055" spans="1:10">
      <c r="A1055" s="245"/>
      <c r="D1055" s="245"/>
      <c r="F1055" s="389"/>
      <c r="G1055" s="244"/>
      <c r="H1055" s="244"/>
      <c r="I1055" s="244"/>
      <c r="J1055" s="244"/>
    </row>
    <row r="1056" spans="1:10">
      <c r="A1056" s="245"/>
      <c r="D1056" s="245"/>
      <c r="F1056" s="389"/>
      <c r="G1056" s="244"/>
      <c r="H1056" s="244"/>
      <c r="I1056" s="244"/>
      <c r="J1056" s="244"/>
    </row>
    <row r="1057" spans="1:10">
      <c r="A1057" s="245"/>
      <c r="D1057" s="245"/>
      <c r="F1057" s="389"/>
      <c r="G1057" s="244"/>
      <c r="H1057" s="244"/>
      <c r="I1057" s="244"/>
      <c r="J1057" s="244"/>
    </row>
    <row r="1058" spans="1:10">
      <c r="A1058" s="245"/>
      <c r="D1058" s="245"/>
      <c r="F1058" s="389"/>
      <c r="G1058" s="244"/>
      <c r="H1058" s="244"/>
      <c r="I1058" s="244"/>
      <c r="J1058" s="244"/>
    </row>
    <row r="1059" spans="1:10">
      <c r="A1059" s="245"/>
      <c r="D1059" s="245"/>
      <c r="F1059" s="389"/>
      <c r="G1059" s="244"/>
      <c r="H1059" s="244"/>
      <c r="I1059" s="244"/>
      <c r="J1059" s="244"/>
    </row>
    <row r="1060" spans="1:10">
      <c r="A1060" s="245"/>
      <c r="D1060" s="245"/>
      <c r="F1060" s="389"/>
      <c r="G1060" s="244"/>
      <c r="H1060" s="244"/>
      <c r="I1060" s="244"/>
      <c r="J1060" s="244"/>
    </row>
    <row r="1061" spans="1:10">
      <c r="A1061" s="245"/>
      <c r="D1061" s="245"/>
      <c r="F1061" s="389"/>
      <c r="G1061" s="244"/>
      <c r="H1061" s="244"/>
      <c r="I1061" s="244"/>
      <c r="J1061" s="244"/>
    </row>
    <row r="1062" spans="1:10">
      <c r="A1062" s="245"/>
      <c r="D1062" s="245"/>
      <c r="F1062" s="389"/>
      <c r="G1062" s="244"/>
      <c r="H1062" s="244"/>
      <c r="I1062" s="244"/>
      <c r="J1062" s="244"/>
    </row>
    <row r="1063" spans="1:10">
      <c r="A1063" s="245"/>
      <c r="D1063" s="245"/>
      <c r="F1063" s="389"/>
      <c r="G1063" s="244"/>
      <c r="H1063" s="244"/>
      <c r="I1063" s="244"/>
      <c r="J1063" s="244"/>
    </row>
    <row r="1064" spans="1:10">
      <c r="A1064" s="245"/>
      <c r="D1064" s="245"/>
      <c r="F1064" s="389"/>
      <c r="G1064" s="244"/>
      <c r="H1064" s="244"/>
      <c r="I1064" s="244"/>
      <c r="J1064" s="244"/>
    </row>
    <row r="1065" spans="1:10">
      <c r="A1065" s="245"/>
      <c r="D1065" s="245"/>
      <c r="F1065" s="389"/>
      <c r="G1065" s="244"/>
      <c r="H1065" s="244"/>
      <c r="I1065" s="244"/>
      <c r="J1065" s="244"/>
    </row>
    <row r="1066" spans="1:10">
      <c r="A1066" s="245"/>
      <c r="D1066" s="245"/>
      <c r="F1066" s="389"/>
      <c r="G1066" s="244"/>
      <c r="H1066" s="244"/>
      <c r="I1066" s="244"/>
      <c r="J1066" s="244"/>
    </row>
    <row r="1067" spans="1:10">
      <c r="A1067" s="245"/>
      <c r="D1067" s="245"/>
      <c r="F1067" s="389"/>
      <c r="G1067" s="244"/>
      <c r="H1067" s="244"/>
      <c r="I1067" s="244"/>
      <c r="J1067" s="244"/>
    </row>
    <row r="1068" spans="1:10">
      <c r="A1068" s="245"/>
      <c r="D1068" s="245"/>
      <c r="F1068" s="389"/>
      <c r="G1068" s="244"/>
      <c r="H1068" s="244"/>
      <c r="I1068" s="244"/>
      <c r="J1068" s="244"/>
    </row>
    <row r="1069" spans="1:10">
      <c r="A1069" s="245"/>
      <c r="D1069" s="245"/>
      <c r="F1069" s="389"/>
      <c r="G1069" s="244"/>
      <c r="H1069" s="244"/>
      <c r="I1069" s="244"/>
      <c r="J1069" s="244"/>
    </row>
    <row r="1070" spans="1:10">
      <c r="A1070" s="245"/>
      <c r="D1070" s="245"/>
      <c r="F1070" s="389"/>
      <c r="G1070" s="244"/>
      <c r="H1070" s="244"/>
      <c r="I1070" s="244"/>
      <c r="J1070" s="244"/>
    </row>
    <row r="1071" spans="1:10">
      <c r="A1071" s="245"/>
      <c r="D1071" s="245"/>
      <c r="F1071" s="389"/>
      <c r="G1071" s="244"/>
      <c r="H1071" s="244"/>
      <c r="I1071" s="244"/>
      <c r="J1071" s="244"/>
    </row>
    <row r="1072" spans="1:10">
      <c r="A1072" s="245"/>
      <c r="D1072" s="245"/>
      <c r="F1072" s="389"/>
      <c r="G1072" s="244"/>
      <c r="H1072" s="244"/>
      <c r="I1072" s="244"/>
      <c r="J1072" s="244"/>
    </row>
    <row r="1073" spans="1:10">
      <c r="A1073" s="245"/>
      <c r="D1073" s="245"/>
      <c r="F1073" s="389"/>
      <c r="G1073" s="244"/>
      <c r="H1073" s="244"/>
      <c r="I1073" s="244"/>
      <c r="J1073" s="244"/>
    </row>
    <row r="1074" spans="1:10">
      <c r="A1074" s="245"/>
      <c r="D1074" s="245"/>
      <c r="F1074" s="389"/>
      <c r="G1074" s="244"/>
      <c r="H1074" s="244"/>
      <c r="I1074" s="244"/>
      <c r="J1074" s="244"/>
    </row>
    <row r="1075" spans="1:10">
      <c r="A1075" s="245"/>
      <c r="D1075" s="245"/>
      <c r="F1075" s="389"/>
      <c r="G1075" s="244"/>
      <c r="H1075" s="244"/>
      <c r="I1075" s="244"/>
      <c r="J1075" s="244"/>
    </row>
    <row r="1076" spans="1:10">
      <c r="A1076" s="245"/>
      <c r="D1076" s="245"/>
      <c r="F1076" s="389"/>
      <c r="G1076" s="244"/>
      <c r="H1076" s="244"/>
      <c r="I1076" s="244"/>
      <c r="J1076" s="244"/>
    </row>
    <row r="1077" spans="1:10">
      <c r="A1077" s="245"/>
      <c r="D1077" s="245"/>
      <c r="F1077" s="389"/>
      <c r="G1077" s="244"/>
      <c r="H1077" s="244"/>
      <c r="I1077" s="244"/>
      <c r="J1077" s="244"/>
    </row>
    <row r="1078" spans="1:10">
      <c r="A1078" s="245"/>
      <c r="D1078" s="245"/>
      <c r="F1078" s="389"/>
      <c r="G1078" s="244"/>
      <c r="H1078" s="244"/>
      <c r="I1078" s="244"/>
      <c r="J1078" s="244"/>
    </row>
    <row r="1079" spans="1:10">
      <c r="A1079" s="245"/>
      <c r="D1079" s="245"/>
      <c r="F1079" s="389"/>
      <c r="G1079" s="244"/>
      <c r="H1079" s="244"/>
      <c r="I1079" s="244"/>
      <c r="J1079" s="244"/>
    </row>
    <row r="1080" spans="1:10">
      <c r="A1080" s="245"/>
      <c r="D1080" s="245"/>
      <c r="F1080" s="389"/>
      <c r="G1080" s="244"/>
      <c r="H1080" s="244"/>
      <c r="I1080" s="244"/>
      <c r="J1080" s="244"/>
    </row>
    <row r="1081" spans="1:10">
      <c r="A1081" s="245"/>
      <c r="D1081" s="245"/>
      <c r="F1081" s="389"/>
      <c r="G1081" s="244"/>
      <c r="H1081" s="244"/>
      <c r="I1081" s="244"/>
      <c r="J1081" s="244"/>
    </row>
    <row r="1082" spans="1:10">
      <c r="A1082" s="245"/>
      <c r="D1082" s="245"/>
      <c r="F1082" s="389"/>
      <c r="G1082" s="244"/>
      <c r="H1082" s="244"/>
      <c r="I1082" s="244"/>
      <c r="J1082" s="244"/>
    </row>
    <row r="1083" spans="1:10">
      <c r="A1083" s="245"/>
      <c r="D1083" s="245"/>
      <c r="F1083" s="389"/>
      <c r="G1083" s="244"/>
      <c r="H1083" s="244"/>
      <c r="I1083" s="244"/>
      <c r="J1083" s="244"/>
    </row>
    <row r="1084" spans="1:10">
      <c r="A1084" s="245"/>
      <c r="D1084" s="245"/>
      <c r="F1084" s="389"/>
      <c r="G1084" s="244"/>
      <c r="H1084" s="244"/>
      <c r="I1084" s="244"/>
      <c r="J1084" s="244"/>
    </row>
    <row r="1085" spans="1:10">
      <c r="A1085" s="245"/>
      <c r="D1085" s="245"/>
      <c r="F1085" s="389"/>
      <c r="G1085" s="244"/>
      <c r="H1085" s="244"/>
      <c r="I1085" s="244"/>
      <c r="J1085" s="244"/>
    </row>
    <row r="1086" spans="1:10">
      <c r="A1086" s="245"/>
      <c r="D1086" s="245"/>
      <c r="F1086" s="389"/>
      <c r="G1086" s="244"/>
      <c r="H1086" s="244"/>
      <c r="I1086" s="244"/>
      <c r="J1086" s="244"/>
    </row>
    <row r="1087" spans="1:10">
      <c r="A1087" s="245"/>
      <c r="D1087" s="245"/>
      <c r="F1087" s="389"/>
      <c r="G1087" s="244"/>
      <c r="H1087" s="244"/>
      <c r="I1087" s="244"/>
      <c r="J1087" s="244"/>
    </row>
    <row r="1088" spans="1:10">
      <c r="A1088" s="245"/>
      <c r="D1088" s="245"/>
      <c r="F1088" s="389"/>
      <c r="G1088" s="244"/>
      <c r="H1088" s="244"/>
      <c r="I1088" s="244"/>
      <c r="J1088" s="244"/>
    </row>
    <row r="1089" spans="1:10">
      <c r="A1089" s="245"/>
      <c r="D1089" s="245"/>
      <c r="F1089" s="389"/>
      <c r="G1089" s="244"/>
      <c r="H1089" s="244"/>
      <c r="I1089" s="244"/>
      <c r="J1089" s="244"/>
    </row>
    <row r="1090" spans="1:10">
      <c r="A1090" s="245"/>
      <c r="D1090" s="245"/>
      <c r="F1090" s="389"/>
      <c r="G1090" s="244"/>
      <c r="H1090" s="244"/>
      <c r="I1090" s="244"/>
      <c r="J1090" s="244"/>
    </row>
    <row r="1091" spans="1:10">
      <c r="A1091" s="245"/>
      <c r="D1091" s="245"/>
      <c r="F1091" s="389"/>
      <c r="G1091" s="244"/>
      <c r="H1091" s="244"/>
      <c r="I1091" s="244"/>
      <c r="J1091" s="244"/>
    </row>
    <row r="1092" spans="1:10">
      <c r="A1092" s="245"/>
      <c r="D1092" s="245"/>
      <c r="F1092" s="389"/>
      <c r="G1092" s="244"/>
      <c r="H1092" s="244"/>
      <c r="I1092" s="244"/>
      <c r="J1092" s="244"/>
    </row>
    <row r="1093" spans="1:10">
      <c r="A1093" s="245"/>
      <c r="D1093" s="245"/>
      <c r="F1093" s="389"/>
      <c r="G1093" s="244"/>
      <c r="H1093" s="244"/>
      <c r="I1093" s="244"/>
      <c r="J1093" s="244"/>
    </row>
    <row r="1094" spans="1:10">
      <c r="A1094" s="245"/>
      <c r="D1094" s="245"/>
      <c r="F1094" s="389"/>
      <c r="G1094" s="244"/>
      <c r="H1094" s="244"/>
      <c r="I1094" s="244"/>
      <c r="J1094" s="244"/>
    </row>
    <row r="1095" spans="1:10">
      <c r="A1095" s="245"/>
      <c r="D1095" s="245"/>
      <c r="F1095" s="389"/>
      <c r="G1095" s="244"/>
      <c r="H1095" s="244"/>
      <c r="I1095" s="244"/>
      <c r="J1095" s="244"/>
    </row>
    <row r="1096" spans="1:10">
      <c r="A1096" s="245"/>
      <c r="D1096" s="245"/>
      <c r="F1096" s="389"/>
      <c r="G1096" s="244"/>
      <c r="H1096" s="244"/>
      <c r="I1096" s="244"/>
      <c r="J1096" s="244"/>
    </row>
    <row r="1097" spans="1:10">
      <c r="A1097" s="245"/>
      <c r="D1097" s="245"/>
      <c r="F1097" s="389"/>
      <c r="G1097" s="244"/>
      <c r="H1097" s="244"/>
      <c r="I1097" s="244"/>
      <c r="J1097" s="244"/>
    </row>
    <row r="1098" spans="1:10">
      <c r="A1098" s="245"/>
      <c r="D1098" s="245"/>
      <c r="F1098" s="389"/>
      <c r="G1098" s="244"/>
      <c r="H1098" s="244"/>
      <c r="I1098" s="244"/>
      <c r="J1098" s="244"/>
    </row>
    <row r="1099" spans="1:10">
      <c r="A1099" s="245"/>
      <c r="D1099" s="245"/>
      <c r="F1099" s="389"/>
      <c r="G1099" s="244"/>
      <c r="H1099" s="244"/>
      <c r="I1099" s="244"/>
      <c r="J1099" s="244"/>
    </row>
    <row r="1100" spans="1:10">
      <c r="A1100" s="245"/>
      <c r="D1100" s="245"/>
      <c r="F1100" s="389"/>
      <c r="G1100" s="244"/>
      <c r="H1100" s="244"/>
      <c r="I1100" s="244"/>
      <c r="J1100" s="244"/>
    </row>
    <row r="1101" spans="1:10">
      <c r="A1101" s="245"/>
      <c r="D1101" s="245"/>
      <c r="F1101" s="389"/>
      <c r="G1101" s="244"/>
      <c r="H1101" s="244"/>
      <c r="I1101" s="244"/>
      <c r="J1101" s="244"/>
    </row>
    <row r="1102" spans="1:10">
      <c r="A1102" s="245"/>
      <c r="D1102" s="245"/>
      <c r="F1102" s="389"/>
      <c r="G1102" s="244"/>
      <c r="H1102" s="244"/>
      <c r="I1102" s="244"/>
      <c r="J1102" s="244"/>
    </row>
    <row r="1103" spans="1:10">
      <c r="A1103" s="245"/>
      <c r="D1103" s="245"/>
      <c r="F1103" s="389"/>
      <c r="G1103" s="244"/>
      <c r="H1103" s="244"/>
      <c r="I1103" s="244"/>
      <c r="J1103" s="244"/>
    </row>
    <row r="1104" spans="1:10">
      <c r="A1104" s="245"/>
      <c r="D1104" s="245"/>
      <c r="F1104" s="389"/>
      <c r="G1104" s="244"/>
      <c r="H1104" s="244"/>
      <c r="I1104" s="244"/>
      <c r="J1104" s="244"/>
    </row>
    <row r="1105" spans="1:10">
      <c r="A1105" s="245"/>
      <c r="D1105" s="245"/>
      <c r="F1105" s="389"/>
      <c r="G1105" s="244"/>
      <c r="H1105" s="244"/>
      <c r="I1105" s="244"/>
      <c r="J1105" s="244"/>
    </row>
    <row r="1106" spans="1:10">
      <c r="A1106" s="245"/>
      <c r="D1106" s="245"/>
      <c r="F1106" s="389"/>
      <c r="G1106" s="244"/>
      <c r="H1106" s="244"/>
      <c r="I1106" s="244"/>
      <c r="J1106" s="244"/>
    </row>
    <row r="1107" spans="1:10">
      <c r="A1107" s="245"/>
      <c r="D1107" s="245"/>
      <c r="F1107" s="389"/>
      <c r="G1107" s="244"/>
      <c r="H1107" s="244"/>
      <c r="I1107" s="244"/>
      <c r="J1107" s="244"/>
    </row>
    <row r="1108" spans="1:10">
      <c r="A1108" s="245"/>
      <c r="D1108" s="245"/>
      <c r="F1108" s="389"/>
      <c r="G1108" s="244"/>
      <c r="H1108" s="244"/>
      <c r="I1108" s="244"/>
      <c r="J1108" s="244"/>
    </row>
    <row r="1109" spans="1:10">
      <c r="A1109" s="245"/>
      <c r="D1109" s="245"/>
      <c r="F1109" s="389"/>
      <c r="G1109" s="244"/>
      <c r="H1109" s="244"/>
      <c r="I1109" s="244"/>
      <c r="J1109" s="244"/>
    </row>
    <row r="1110" spans="1:10">
      <c r="A1110" s="245"/>
      <c r="D1110" s="245"/>
      <c r="F1110" s="389"/>
      <c r="G1110" s="244"/>
      <c r="H1110" s="244"/>
      <c r="I1110" s="244"/>
      <c r="J1110" s="244"/>
    </row>
    <row r="1111" spans="1:10">
      <c r="A1111" s="245"/>
      <c r="D1111" s="245"/>
      <c r="F1111" s="389"/>
      <c r="G1111" s="244"/>
      <c r="H1111" s="244"/>
      <c r="I1111" s="244"/>
      <c r="J1111" s="244"/>
    </row>
    <row r="1112" spans="1:10">
      <c r="A1112" s="245"/>
      <c r="D1112" s="245"/>
      <c r="F1112" s="389"/>
      <c r="G1112" s="244"/>
      <c r="H1112" s="244"/>
      <c r="I1112" s="244"/>
      <c r="J1112" s="244"/>
    </row>
    <row r="1113" spans="1:10">
      <c r="A1113" s="245"/>
      <c r="D1113" s="245"/>
      <c r="F1113" s="389"/>
      <c r="G1113" s="244"/>
      <c r="H1113" s="244"/>
      <c r="I1113" s="244"/>
      <c r="J1113" s="244"/>
    </row>
    <row r="1114" spans="1:10">
      <c r="A1114" s="245"/>
      <c r="D1114" s="245"/>
      <c r="F1114" s="389"/>
      <c r="G1114" s="244"/>
      <c r="H1114" s="244"/>
      <c r="I1114" s="244"/>
      <c r="J1114" s="244"/>
    </row>
    <row r="1115" spans="1:10">
      <c r="A1115" s="245"/>
      <c r="D1115" s="245"/>
      <c r="F1115" s="389"/>
      <c r="G1115" s="244"/>
      <c r="H1115" s="244"/>
      <c r="I1115" s="244"/>
      <c r="J1115" s="244"/>
    </row>
    <row r="1116" spans="1:10">
      <c r="A1116" s="245"/>
      <c r="D1116" s="245"/>
      <c r="F1116" s="389"/>
      <c r="G1116" s="244"/>
      <c r="H1116" s="244"/>
      <c r="I1116" s="244"/>
      <c r="J1116" s="244"/>
    </row>
    <row r="1117" spans="1:10">
      <c r="A1117" s="245"/>
      <c r="D1117" s="245"/>
      <c r="F1117" s="389"/>
      <c r="G1117" s="244"/>
      <c r="H1117" s="244"/>
      <c r="I1117" s="244"/>
      <c r="J1117" s="244"/>
    </row>
    <row r="1118" spans="1:10">
      <c r="A1118" s="245"/>
      <c r="D1118" s="245"/>
      <c r="F1118" s="389"/>
      <c r="G1118" s="244"/>
      <c r="H1118" s="244"/>
      <c r="I1118" s="244"/>
      <c r="J1118" s="244"/>
    </row>
    <row r="1119" spans="1:10">
      <c r="A1119" s="245"/>
      <c r="D1119" s="245"/>
      <c r="F1119" s="389"/>
      <c r="G1119" s="244"/>
      <c r="H1119" s="244"/>
      <c r="I1119" s="244"/>
      <c r="J1119" s="244"/>
    </row>
    <row r="1120" spans="1:10">
      <c r="A1120" s="245"/>
      <c r="D1120" s="245"/>
      <c r="F1120" s="389"/>
      <c r="G1120" s="244"/>
      <c r="H1120" s="244"/>
      <c r="I1120" s="244"/>
      <c r="J1120" s="244"/>
    </row>
    <row r="1121" spans="1:10">
      <c r="A1121" s="245"/>
      <c r="D1121" s="245"/>
      <c r="F1121" s="389"/>
      <c r="G1121" s="244"/>
      <c r="H1121" s="244"/>
      <c r="I1121" s="244"/>
      <c r="J1121" s="244"/>
    </row>
    <row r="1122" spans="1:10">
      <c r="A1122" s="245"/>
      <c r="D1122" s="245"/>
      <c r="F1122" s="389"/>
      <c r="G1122" s="244"/>
      <c r="H1122" s="244"/>
      <c r="I1122" s="244"/>
      <c r="J1122" s="244"/>
    </row>
    <row r="1123" spans="1:10">
      <c r="A1123" s="245"/>
      <c r="D1123" s="245"/>
      <c r="F1123" s="389"/>
      <c r="G1123" s="244"/>
      <c r="H1123" s="244"/>
      <c r="I1123" s="244"/>
      <c r="J1123" s="244"/>
    </row>
    <row r="1124" spans="1:10">
      <c r="A1124" s="245"/>
      <c r="D1124" s="245"/>
      <c r="F1124" s="389"/>
      <c r="G1124" s="244"/>
      <c r="H1124" s="244"/>
      <c r="I1124" s="244"/>
      <c r="J1124" s="244"/>
    </row>
    <row r="1125" spans="1:10">
      <c r="A1125" s="245"/>
      <c r="D1125" s="245"/>
      <c r="F1125" s="389"/>
      <c r="G1125" s="244"/>
      <c r="H1125" s="244"/>
      <c r="I1125" s="244"/>
      <c r="J1125" s="244"/>
    </row>
    <row r="1126" spans="1:10">
      <c r="A1126" s="245"/>
      <c r="D1126" s="245"/>
      <c r="F1126" s="389"/>
      <c r="G1126" s="244"/>
      <c r="H1126" s="244"/>
      <c r="I1126" s="244"/>
      <c r="J1126" s="244"/>
    </row>
    <row r="1127" spans="1:10">
      <c r="A1127" s="245"/>
      <c r="D1127" s="245"/>
      <c r="F1127" s="389"/>
      <c r="G1127" s="244"/>
      <c r="H1127" s="244"/>
      <c r="I1127" s="244"/>
      <c r="J1127" s="244"/>
    </row>
    <row r="1128" spans="1:10">
      <c r="A1128" s="245"/>
      <c r="D1128" s="245"/>
      <c r="F1128" s="389"/>
      <c r="G1128" s="244"/>
      <c r="H1128" s="244"/>
      <c r="I1128" s="244"/>
      <c r="J1128" s="244"/>
    </row>
    <row r="1129" spans="1:10">
      <c r="A1129" s="245"/>
      <c r="D1129" s="245"/>
      <c r="F1129" s="389"/>
      <c r="G1129" s="244"/>
      <c r="H1129" s="244"/>
      <c r="I1129" s="244"/>
      <c r="J1129" s="244"/>
    </row>
    <row r="1130" spans="1:10">
      <c r="A1130" s="245"/>
      <c r="D1130" s="245"/>
      <c r="F1130" s="389"/>
      <c r="G1130" s="244"/>
      <c r="H1130" s="244"/>
      <c r="I1130" s="244"/>
      <c r="J1130" s="244"/>
    </row>
    <row r="1131" spans="1:10">
      <c r="A1131" s="245"/>
      <c r="D1131" s="245"/>
      <c r="F1131" s="389"/>
      <c r="G1131" s="244"/>
      <c r="H1131" s="244"/>
      <c r="I1131" s="244"/>
      <c r="J1131" s="244"/>
    </row>
    <row r="1132" spans="1:10">
      <c r="A1132" s="245"/>
      <c r="D1132" s="245"/>
      <c r="F1132" s="389"/>
      <c r="G1132" s="244"/>
      <c r="H1132" s="244"/>
      <c r="I1132" s="244"/>
      <c r="J1132" s="244"/>
    </row>
    <row r="1133" spans="1:10">
      <c r="A1133" s="245"/>
      <c r="D1133" s="245"/>
      <c r="F1133" s="389"/>
      <c r="G1133" s="244"/>
      <c r="H1133" s="244"/>
      <c r="I1133" s="244"/>
      <c r="J1133" s="244"/>
    </row>
    <row r="1134" spans="1:10">
      <c r="A1134" s="245"/>
      <c r="D1134" s="245"/>
      <c r="F1134" s="389"/>
      <c r="G1134" s="244"/>
      <c r="H1134" s="244"/>
      <c r="I1134" s="244"/>
      <c r="J1134" s="244"/>
    </row>
    <row r="1135" spans="1:10">
      <c r="A1135" s="245"/>
      <c r="D1135" s="245"/>
      <c r="F1135" s="389"/>
      <c r="G1135" s="244"/>
      <c r="H1135" s="244"/>
      <c r="I1135" s="244"/>
      <c r="J1135" s="244"/>
    </row>
    <row r="1136" spans="1:10">
      <c r="A1136" s="245"/>
      <c r="D1136" s="245"/>
      <c r="F1136" s="389"/>
      <c r="G1136" s="244"/>
      <c r="H1136" s="244"/>
      <c r="I1136" s="244"/>
      <c r="J1136" s="244"/>
    </row>
    <row r="1137" spans="1:10">
      <c r="A1137" s="245"/>
      <c r="D1137" s="245"/>
      <c r="F1137" s="389"/>
      <c r="G1137" s="244"/>
      <c r="H1137" s="244"/>
      <c r="I1137" s="244"/>
      <c r="J1137" s="244"/>
    </row>
    <row r="1138" spans="1:10">
      <c r="A1138" s="245"/>
      <c r="D1138" s="245"/>
      <c r="F1138" s="389"/>
      <c r="G1138" s="244"/>
      <c r="H1138" s="244"/>
      <c r="I1138" s="244"/>
      <c r="J1138" s="244"/>
    </row>
    <row r="1139" spans="1:10">
      <c r="A1139" s="245"/>
      <c r="D1139" s="245"/>
      <c r="F1139" s="389"/>
      <c r="G1139" s="244"/>
      <c r="H1139" s="244"/>
      <c r="I1139" s="244"/>
      <c r="J1139" s="244"/>
    </row>
    <row r="1140" spans="1:10">
      <c r="A1140" s="245"/>
      <c r="D1140" s="245"/>
      <c r="F1140" s="389"/>
      <c r="G1140" s="244"/>
      <c r="H1140" s="244"/>
      <c r="I1140" s="244"/>
      <c r="J1140" s="244"/>
    </row>
    <row r="1141" spans="1:10">
      <c r="A1141" s="245"/>
      <c r="D1141" s="245"/>
      <c r="F1141" s="389"/>
      <c r="G1141" s="244"/>
      <c r="H1141" s="244"/>
      <c r="I1141" s="244"/>
      <c r="J1141" s="244"/>
    </row>
    <row r="1142" spans="1:10">
      <c r="A1142" s="245"/>
      <c r="D1142" s="245"/>
      <c r="F1142" s="389"/>
      <c r="G1142" s="244"/>
      <c r="H1142" s="244"/>
      <c r="I1142" s="244"/>
      <c r="J1142" s="244"/>
    </row>
    <row r="1143" spans="1:10">
      <c r="A1143" s="245"/>
      <c r="D1143" s="245"/>
      <c r="F1143" s="389"/>
      <c r="G1143" s="244"/>
      <c r="H1143" s="244"/>
      <c r="I1143" s="244"/>
      <c r="J1143" s="244"/>
    </row>
    <row r="1144" spans="1:10">
      <c r="A1144" s="245"/>
      <c r="D1144" s="245"/>
      <c r="F1144" s="389"/>
      <c r="G1144" s="244"/>
      <c r="H1144" s="244"/>
      <c r="I1144" s="244"/>
      <c r="J1144" s="244"/>
    </row>
    <row r="1145" spans="1:10">
      <c r="A1145" s="245"/>
      <c r="D1145" s="245"/>
      <c r="F1145" s="389"/>
      <c r="G1145" s="244"/>
      <c r="H1145" s="244"/>
      <c r="I1145" s="244"/>
      <c r="J1145" s="244"/>
    </row>
    <row r="1146" spans="1:10">
      <c r="A1146" s="245"/>
      <c r="D1146" s="245"/>
      <c r="F1146" s="389"/>
      <c r="G1146" s="244"/>
      <c r="H1146" s="244"/>
      <c r="I1146" s="244"/>
      <c r="J1146" s="244"/>
    </row>
    <row r="1147" spans="1:10">
      <c r="A1147" s="245"/>
      <c r="D1147" s="245"/>
      <c r="F1147" s="389"/>
      <c r="G1147" s="244"/>
      <c r="H1147" s="244"/>
      <c r="I1147" s="244"/>
      <c r="J1147" s="244"/>
    </row>
    <row r="1148" spans="1:10">
      <c r="A1148" s="245"/>
      <c r="D1148" s="245"/>
      <c r="F1148" s="389"/>
      <c r="G1148" s="244"/>
      <c r="H1148" s="244"/>
      <c r="I1148" s="244"/>
      <c r="J1148" s="244"/>
    </row>
    <row r="1149" spans="1:10">
      <c r="A1149" s="245"/>
      <c r="D1149" s="245"/>
      <c r="F1149" s="389"/>
      <c r="G1149" s="244"/>
      <c r="H1149" s="244"/>
      <c r="I1149" s="244"/>
      <c r="J1149" s="244"/>
    </row>
    <row r="1150" spans="1:10">
      <c r="A1150" s="245"/>
      <c r="D1150" s="245"/>
      <c r="F1150" s="389"/>
      <c r="G1150" s="244"/>
      <c r="H1150" s="244"/>
      <c r="I1150" s="244"/>
      <c r="J1150" s="244"/>
    </row>
    <row r="1151" spans="1:10">
      <c r="A1151" s="245"/>
      <c r="D1151" s="245"/>
      <c r="F1151" s="389"/>
      <c r="G1151" s="244"/>
      <c r="H1151" s="244"/>
      <c r="I1151" s="244"/>
      <c r="J1151" s="244"/>
    </row>
    <row r="1152" spans="1:10">
      <c r="A1152" s="245"/>
      <c r="D1152" s="245"/>
      <c r="F1152" s="389"/>
      <c r="G1152" s="244"/>
      <c r="H1152" s="244"/>
      <c r="I1152" s="244"/>
      <c r="J1152" s="244"/>
    </row>
    <row r="1153" spans="1:10">
      <c r="A1153" s="245"/>
      <c r="D1153" s="245"/>
      <c r="F1153" s="389"/>
      <c r="G1153" s="244"/>
      <c r="H1153" s="244"/>
      <c r="I1153" s="244"/>
      <c r="J1153" s="244"/>
    </row>
    <row r="1154" spans="1:10">
      <c r="A1154" s="245"/>
      <c r="D1154" s="245"/>
      <c r="F1154" s="389"/>
      <c r="G1154" s="244"/>
      <c r="H1154" s="244"/>
      <c r="I1154" s="244"/>
      <c r="J1154" s="244"/>
    </row>
    <row r="1155" spans="1:10">
      <c r="A1155" s="245"/>
      <c r="D1155" s="245"/>
      <c r="F1155" s="389"/>
      <c r="G1155" s="244"/>
      <c r="H1155" s="244"/>
      <c r="I1155" s="244"/>
      <c r="J1155" s="244"/>
    </row>
    <row r="1156" spans="1:10">
      <c r="A1156" s="245"/>
      <c r="D1156" s="245"/>
      <c r="F1156" s="389"/>
      <c r="G1156" s="244"/>
      <c r="H1156" s="244"/>
      <c r="I1156" s="244"/>
      <c r="J1156" s="244"/>
    </row>
    <row r="1157" spans="1:10">
      <c r="A1157" s="245"/>
      <c r="D1157" s="245"/>
      <c r="F1157" s="389"/>
      <c r="G1157" s="244"/>
      <c r="H1157" s="244"/>
      <c r="I1157" s="244"/>
      <c r="J1157" s="244"/>
    </row>
    <row r="1158" spans="1:10">
      <c r="A1158" s="245"/>
      <c r="D1158" s="245"/>
      <c r="F1158" s="389"/>
      <c r="G1158" s="244"/>
      <c r="H1158" s="244"/>
      <c r="I1158" s="244"/>
      <c r="J1158" s="244"/>
    </row>
  </sheetData>
  <mergeCells count="10">
    <mergeCell ref="H4:H6"/>
    <mergeCell ref="I4:I6"/>
    <mergeCell ref="G4:G6"/>
    <mergeCell ref="A1:F1"/>
    <mergeCell ref="A3:A6"/>
    <mergeCell ref="B3:B6"/>
    <mergeCell ref="C3:C6"/>
    <mergeCell ref="D3:D6"/>
    <mergeCell ref="F3:F6"/>
    <mergeCell ref="E3:E6"/>
  </mergeCells>
  <pageMargins left="0.78740157480314965" right="0.31496062992125984" top="0.41" bottom="0.28000000000000003" header="0.31496062992125984"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25" style="39" customWidth="1"/>
    <col min="2" max="2" width="24" style="40" customWidth="1"/>
    <col min="3" max="3" width="7.75" style="43" customWidth="1"/>
    <col min="4" max="4" width="9" style="43" customWidth="1"/>
    <col min="5" max="7" width="9.125" style="43" customWidth="1"/>
    <col min="8" max="8" width="10.125" style="43" customWidth="1"/>
    <col min="9" max="9" width="10.75" style="3" customWidth="1"/>
    <col min="10" max="14" width="9.75" style="3" customWidth="1"/>
    <col min="15" max="15" width="8.25" style="3" bestFit="1" customWidth="1"/>
    <col min="16" max="16" width="10.25" style="3" hidden="1" customWidth="1"/>
    <col min="17" max="21" width="8.875" style="3" hidden="1" customWidth="1"/>
    <col min="22" max="22" width="10.125" style="3" hidden="1" customWidth="1"/>
    <col min="23" max="23" width="10.125" style="3" customWidth="1"/>
    <col min="24" max="28" width="8.75" style="3" customWidth="1"/>
    <col min="29" max="29" width="8.25" style="3" bestFit="1" customWidth="1"/>
    <col min="30" max="34" width="10.125" style="3" hidden="1" customWidth="1"/>
    <col min="35" max="35" width="10.125" style="3" customWidth="1"/>
    <col min="36" max="40" width="8.75" style="3" customWidth="1"/>
    <col min="41" max="41" width="8.25" style="3" bestFit="1" customWidth="1"/>
    <col min="42" max="42" width="10.125" style="3" customWidth="1"/>
    <col min="43" max="44" width="8.75" style="3" customWidth="1"/>
    <col min="45" max="45" width="11" style="3" customWidth="1"/>
    <col min="46" max="46" width="9.875" style="3" customWidth="1"/>
    <col min="47" max="47" width="11" style="3" customWidth="1"/>
    <col min="48" max="49" width="8.75" style="3" customWidth="1"/>
    <col min="50" max="51" width="10.125" style="3" customWidth="1"/>
    <col min="52" max="53" width="8.625" style="3" customWidth="1"/>
    <col min="54" max="54" width="11" style="3" customWidth="1"/>
    <col min="55" max="55" width="8.875" style="3" customWidth="1"/>
    <col min="56" max="56" width="11" style="3" customWidth="1"/>
    <col min="57" max="59" width="9" style="3" customWidth="1"/>
    <col min="60" max="60" width="10.125" style="3" customWidth="1"/>
    <col min="61" max="62" width="8.625" style="3" customWidth="1"/>
    <col min="63" max="63" width="11" style="3" customWidth="1"/>
    <col min="64" max="64" width="8.875" style="3" customWidth="1"/>
    <col min="65" max="65" width="11" style="3" customWidth="1"/>
    <col min="66" max="69" width="9.125" style="3" customWidth="1"/>
    <col min="70" max="266" width="9.125" style="13"/>
    <col min="267" max="267" width="5.125" style="13" customWidth="1"/>
    <col min="268" max="268" width="24" style="13" customWidth="1"/>
    <col min="269" max="269" width="7.75" style="13" customWidth="1"/>
    <col min="270" max="270" width="9" style="13" customWidth="1"/>
    <col min="271" max="273" width="9.125" style="13" customWidth="1"/>
    <col min="274" max="274" width="10.125" style="13" customWidth="1"/>
    <col min="275" max="275" width="10.75" style="13" customWidth="1"/>
    <col min="276" max="276" width="10" style="13" customWidth="1"/>
    <col min="277" max="277" width="9.25" style="13" customWidth="1"/>
    <col min="278" max="279" width="10.75" style="13" customWidth="1"/>
    <col min="280" max="280" width="9.25" style="13" customWidth="1"/>
    <col min="281" max="285" width="10.75" style="13" customWidth="1"/>
    <col min="286" max="286" width="10.25" style="13" customWidth="1"/>
    <col min="287" max="289" width="8.875" style="13" customWidth="1"/>
    <col min="290" max="291" width="10.125" style="13" customWidth="1"/>
    <col min="292" max="294" width="9.625" style="13" customWidth="1"/>
    <col min="295" max="295" width="10.125" style="13" customWidth="1"/>
    <col min="296" max="300" width="0" style="13" hidden="1" customWidth="1"/>
    <col min="301" max="301" width="10.125" style="13" customWidth="1"/>
    <col min="302" max="304" width="9.625" style="13" customWidth="1"/>
    <col min="305" max="305" width="10.125" style="13" customWidth="1"/>
    <col min="306" max="317" width="0" style="13" hidden="1" customWidth="1"/>
    <col min="318" max="318" width="10.125" style="13" customWidth="1"/>
    <col min="319" max="320" width="9.875" style="13" customWidth="1"/>
    <col min="321" max="321" width="12.625" style="13" customWidth="1"/>
    <col min="322" max="322" width="9.875" style="13" customWidth="1"/>
    <col min="323" max="323" width="12.625" style="13" customWidth="1"/>
    <col min="324" max="324" width="10.125" style="13" customWidth="1"/>
    <col min="325" max="325" width="9.25" style="13" customWidth="1"/>
    <col min="326" max="522" width="9.125" style="13"/>
    <col min="523" max="523" width="5.125" style="13" customWidth="1"/>
    <col min="524" max="524" width="24" style="13" customWidth="1"/>
    <col min="525" max="525" width="7.75" style="13" customWidth="1"/>
    <col min="526" max="526" width="9" style="13" customWidth="1"/>
    <col min="527" max="529" width="9.125" style="13" customWidth="1"/>
    <col min="530" max="530" width="10.125" style="13" customWidth="1"/>
    <col min="531" max="531" width="10.75" style="13" customWidth="1"/>
    <col min="532" max="532" width="10" style="13" customWidth="1"/>
    <col min="533" max="533" width="9.25" style="13" customWidth="1"/>
    <col min="534" max="535" width="10.75" style="13" customWidth="1"/>
    <col min="536" max="536" width="9.25" style="13" customWidth="1"/>
    <col min="537" max="541" width="10.75" style="13" customWidth="1"/>
    <col min="542" max="542" width="10.25" style="13" customWidth="1"/>
    <col min="543" max="545" width="8.875" style="13" customWidth="1"/>
    <col min="546" max="547" width="10.125" style="13" customWidth="1"/>
    <col min="548" max="550" width="9.625" style="13" customWidth="1"/>
    <col min="551" max="551" width="10.125" style="13" customWidth="1"/>
    <col min="552" max="556" width="0" style="13" hidden="1" customWidth="1"/>
    <col min="557" max="557" width="10.125" style="13" customWidth="1"/>
    <col min="558" max="560" width="9.625" style="13" customWidth="1"/>
    <col min="561" max="561" width="10.125" style="13" customWidth="1"/>
    <col min="562" max="573" width="0" style="13" hidden="1" customWidth="1"/>
    <col min="574" max="574" width="10.125" style="13" customWidth="1"/>
    <col min="575" max="576" width="9.875" style="13" customWidth="1"/>
    <col min="577" max="577" width="12.625" style="13" customWidth="1"/>
    <col min="578" max="578" width="9.875" style="13" customWidth="1"/>
    <col min="579" max="579" width="12.625" style="13" customWidth="1"/>
    <col min="580" max="580" width="10.125" style="13" customWidth="1"/>
    <col min="581" max="581" width="9.25" style="13" customWidth="1"/>
    <col min="582" max="778" width="9.125" style="13"/>
    <col min="779" max="779" width="5.125" style="13" customWidth="1"/>
    <col min="780" max="780" width="24" style="13" customWidth="1"/>
    <col min="781" max="781" width="7.75" style="13" customWidth="1"/>
    <col min="782" max="782" width="9" style="13" customWidth="1"/>
    <col min="783" max="785" width="9.125" style="13" customWidth="1"/>
    <col min="786" max="786" width="10.125" style="13" customWidth="1"/>
    <col min="787" max="787" width="10.75" style="13" customWidth="1"/>
    <col min="788" max="788" width="10" style="13" customWidth="1"/>
    <col min="789" max="789" width="9.25" style="13" customWidth="1"/>
    <col min="790" max="791" width="10.75" style="13" customWidth="1"/>
    <col min="792" max="792" width="9.25" style="13" customWidth="1"/>
    <col min="793" max="797" width="10.75" style="13" customWidth="1"/>
    <col min="798" max="798" width="10.25" style="13" customWidth="1"/>
    <col min="799" max="801" width="8.875" style="13" customWidth="1"/>
    <col min="802" max="803" width="10.125" style="13" customWidth="1"/>
    <col min="804" max="806" width="9.625" style="13" customWidth="1"/>
    <col min="807" max="807" width="10.125" style="13" customWidth="1"/>
    <col min="808" max="812" width="0" style="13" hidden="1" customWidth="1"/>
    <col min="813" max="813" width="10.125" style="13" customWidth="1"/>
    <col min="814" max="816" width="9.625" style="13" customWidth="1"/>
    <col min="817" max="817" width="10.125" style="13" customWidth="1"/>
    <col min="818" max="829" width="0" style="13" hidden="1" customWidth="1"/>
    <col min="830" max="830" width="10.125" style="13" customWidth="1"/>
    <col min="831" max="832" width="9.875" style="13" customWidth="1"/>
    <col min="833" max="833" width="12.625" style="13" customWidth="1"/>
    <col min="834" max="834" width="9.875" style="13" customWidth="1"/>
    <col min="835" max="835" width="12.625" style="13" customWidth="1"/>
    <col min="836" max="836" width="10.125" style="13" customWidth="1"/>
    <col min="837" max="837" width="9.25" style="13" customWidth="1"/>
    <col min="838" max="1034" width="9.125" style="13"/>
    <col min="1035" max="1035" width="5.125" style="13" customWidth="1"/>
    <col min="1036" max="1036" width="24" style="13" customWidth="1"/>
    <col min="1037" max="1037" width="7.75" style="13" customWidth="1"/>
    <col min="1038" max="1038" width="9" style="13" customWidth="1"/>
    <col min="1039" max="1041" width="9.125" style="13" customWidth="1"/>
    <col min="1042" max="1042" width="10.125" style="13" customWidth="1"/>
    <col min="1043" max="1043" width="10.75" style="13" customWidth="1"/>
    <col min="1044" max="1044" width="10" style="13" customWidth="1"/>
    <col min="1045" max="1045" width="9.25" style="13" customWidth="1"/>
    <col min="1046" max="1047" width="10.75" style="13" customWidth="1"/>
    <col min="1048" max="1048" width="9.25" style="13" customWidth="1"/>
    <col min="1049" max="1053" width="10.75" style="13" customWidth="1"/>
    <col min="1054" max="1054" width="10.25" style="13" customWidth="1"/>
    <col min="1055" max="1057" width="8.875" style="13" customWidth="1"/>
    <col min="1058" max="1059" width="10.125" style="13" customWidth="1"/>
    <col min="1060" max="1062" width="9.625" style="13" customWidth="1"/>
    <col min="1063" max="1063" width="10.125" style="13" customWidth="1"/>
    <col min="1064" max="1068" width="0" style="13" hidden="1" customWidth="1"/>
    <col min="1069" max="1069" width="10.125" style="13" customWidth="1"/>
    <col min="1070" max="1072" width="9.625" style="13" customWidth="1"/>
    <col min="1073" max="1073" width="10.125" style="13" customWidth="1"/>
    <col min="1074" max="1085" width="0" style="13" hidden="1" customWidth="1"/>
    <col min="1086" max="1086" width="10.125" style="13" customWidth="1"/>
    <col min="1087" max="1088" width="9.875" style="13" customWidth="1"/>
    <col min="1089" max="1089" width="12.625" style="13" customWidth="1"/>
    <col min="1090" max="1090" width="9.875" style="13" customWidth="1"/>
    <col min="1091" max="1091" width="12.625" style="13" customWidth="1"/>
    <col min="1092" max="1092" width="10.125" style="13" customWidth="1"/>
    <col min="1093" max="1093" width="9.25" style="13" customWidth="1"/>
    <col min="1094" max="1290" width="9.125" style="13"/>
    <col min="1291" max="1291" width="5.125" style="13" customWidth="1"/>
    <col min="1292" max="1292" width="24" style="13" customWidth="1"/>
    <col min="1293" max="1293" width="7.75" style="13" customWidth="1"/>
    <col min="1294" max="1294" width="9" style="13" customWidth="1"/>
    <col min="1295" max="1297" width="9.125" style="13" customWidth="1"/>
    <col min="1298" max="1298" width="10.125" style="13" customWidth="1"/>
    <col min="1299" max="1299" width="10.75" style="13" customWidth="1"/>
    <col min="1300" max="1300" width="10" style="13" customWidth="1"/>
    <col min="1301" max="1301" width="9.25" style="13" customWidth="1"/>
    <col min="1302" max="1303" width="10.75" style="13" customWidth="1"/>
    <col min="1304" max="1304" width="9.25" style="13" customWidth="1"/>
    <col min="1305" max="1309" width="10.75" style="13" customWidth="1"/>
    <col min="1310" max="1310" width="10.25" style="13" customWidth="1"/>
    <col min="1311" max="1313" width="8.875" style="13" customWidth="1"/>
    <col min="1314" max="1315" width="10.125" style="13" customWidth="1"/>
    <col min="1316" max="1318" width="9.625" style="13" customWidth="1"/>
    <col min="1319" max="1319" width="10.125" style="13" customWidth="1"/>
    <col min="1320" max="1324" width="0" style="13" hidden="1" customWidth="1"/>
    <col min="1325" max="1325" width="10.125" style="13" customWidth="1"/>
    <col min="1326" max="1328" width="9.625" style="13" customWidth="1"/>
    <col min="1329" max="1329" width="10.125" style="13" customWidth="1"/>
    <col min="1330" max="1341" width="0" style="13" hidden="1" customWidth="1"/>
    <col min="1342" max="1342" width="10.125" style="13" customWidth="1"/>
    <col min="1343" max="1344" width="9.875" style="13" customWidth="1"/>
    <col min="1345" max="1345" width="12.625" style="13" customWidth="1"/>
    <col min="1346" max="1346" width="9.875" style="13" customWidth="1"/>
    <col min="1347" max="1347" width="12.625" style="13" customWidth="1"/>
    <col min="1348" max="1348" width="10.125" style="13" customWidth="1"/>
    <col min="1349" max="1349" width="9.25" style="13" customWidth="1"/>
    <col min="1350" max="1546" width="9.125" style="13"/>
    <col min="1547" max="1547" width="5.125" style="13" customWidth="1"/>
    <col min="1548" max="1548" width="24" style="13" customWidth="1"/>
    <col min="1549" max="1549" width="7.75" style="13" customWidth="1"/>
    <col min="1550" max="1550" width="9" style="13" customWidth="1"/>
    <col min="1551" max="1553" width="9.125" style="13" customWidth="1"/>
    <col min="1554" max="1554" width="10.125" style="13" customWidth="1"/>
    <col min="1555" max="1555" width="10.75" style="13" customWidth="1"/>
    <col min="1556" max="1556" width="10" style="13" customWidth="1"/>
    <col min="1557" max="1557" width="9.25" style="13" customWidth="1"/>
    <col min="1558" max="1559" width="10.75" style="13" customWidth="1"/>
    <col min="1560" max="1560" width="9.25" style="13" customWidth="1"/>
    <col min="1561" max="1565" width="10.75" style="13" customWidth="1"/>
    <col min="1566" max="1566" width="10.25" style="13" customWidth="1"/>
    <col min="1567" max="1569" width="8.875" style="13" customWidth="1"/>
    <col min="1570" max="1571" width="10.125" style="13" customWidth="1"/>
    <col min="1572" max="1574" width="9.625" style="13" customWidth="1"/>
    <col min="1575" max="1575" width="10.125" style="13" customWidth="1"/>
    <col min="1576" max="1580" width="0" style="13" hidden="1" customWidth="1"/>
    <col min="1581" max="1581" width="10.125" style="13" customWidth="1"/>
    <col min="1582" max="1584" width="9.625" style="13" customWidth="1"/>
    <col min="1585" max="1585" width="10.125" style="13" customWidth="1"/>
    <col min="1586" max="1597" width="0" style="13" hidden="1" customWidth="1"/>
    <col min="1598" max="1598" width="10.125" style="13" customWidth="1"/>
    <col min="1599" max="1600" width="9.875" style="13" customWidth="1"/>
    <col min="1601" max="1601" width="12.625" style="13" customWidth="1"/>
    <col min="1602" max="1602" width="9.875" style="13" customWidth="1"/>
    <col min="1603" max="1603" width="12.625" style="13" customWidth="1"/>
    <col min="1604" max="1604" width="10.125" style="13" customWidth="1"/>
    <col min="1605" max="1605" width="9.25" style="13" customWidth="1"/>
    <col min="1606" max="1802" width="9.125" style="13"/>
    <col min="1803" max="1803" width="5.125" style="13" customWidth="1"/>
    <col min="1804" max="1804" width="24" style="13" customWidth="1"/>
    <col min="1805" max="1805" width="7.75" style="13" customWidth="1"/>
    <col min="1806" max="1806" width="9" style="13" customWidth="1"/>
    <col min="1807" max="1809" width="9.125" style="13" customWidth="1"/>
    <col min="1810" max="1810" width="10.125" style="13" customWidth="1"/>
    <col min="1811" max="1811" width="10.75" style="13" customWidth="1"/>
    <col min="1812" max="1812" width="10" style="13" customWidth="1"/>
    <col min="1813" max="1813" width="9.25" style="13" customWidth="1"/>
    <col min="1814" max="1815" width="10.75" style="13" customWidth="1"/>
    <col min="1816" max="1816" width="9.25" style="13" customWidth="1"/>
    <col min="1817" max="1821" width="10.75" style="13" customWidth="1"/>
    <col min="1822" max="1822" width="10.25" style="13" customWidth="1"/>
    <col min="1823" max="1825" width="8.875" style="13" customWidth="1"/>
    <col min="1826" max="1827" width="10.125" style="13" customWidth="1"/>
    <col min="1828" max="1830" width="9.625" style="13" customWidth="1"/>
    <col min="1831" max="1831" width="10.125" style="13" customWidth="1"/>
    <col min="1832" max="1836" width="0" style="13" hidden="1" customWidth="1"/>
    <col min="1837" max="1837" width="10.125" style="13" customWidth="1"/>
    <col min="1838" max="1840" width="9.625" style="13" customWidth="1"/>
    <col min="1841" max="1841" width="10.125" style="13" customWidth="1"/>
    <col min="1842" max="1853" width="0" style="13" hidden="1" customWidth="1"/>
    <col min="1854" max="1854" width="10.125" style="13" customWidth="1"/>
    <col min="1855" max="1856" width="9.875" style="13" customWidth="1"/>
    <col min="1857" max="1857" width="12.625" style="13" customWidth="1"/>
    <col min="1858" max="1858" width="9.875" style="13" customWidth="1"/>
    <col min="1859" max="1859" width="12.625" style="13" customWidth="1"/>
    <col min="1860" max="1860" width="10.125" style="13" customWidth="1"/>
    <col min="1861" max="1861" width="9.25" style="13" customWidth="1"/>
    <col min="1862" max="2058" width="9.125" style="13"/>
    <col min="2059" max="2059" width="5.125" style="13" customWidth="1"/>
    <col min="2060" max="2060" width="24" style="13" customWidth="1"/>
    <col min="2061" max="2061" width="7.75" style="13" customWidth="1"/>
    <col min="2062" max="2062" width="9" style="13" customWidth="1"/>
    <col min="2063" max="2065" width="9.125" style="13" customWidth="1"/>
    <col min="2066" max="2066" width="10.125" style="13" customWidth="1"/>
    <col min="2067" max="2067" width="10.75" style="13" customWidth="1"/>
    <col min="2068" max="2068" width="10" style="13" customWidth="1"/>
    <col min="2069" max="2069" width="9.25" style="13" customWidth="1"/>
    <col min="2070" max="2071" width="10.75" style="13" customWidth="1"/>
    <col min="2072" max="2072" width="9.25" style="13" customWidth="1"/>
    <col min="2073" max="2077" width="10.75" style="13" customWidth="1"/>
    <col min="2078" max="2078" width="10.25" style="13" customWidth="1"/>
    <col min="2079" max="2081" width="8.875" style="13" customWidth="1"/>
    <col min="2082" max="2083" width="10.125" style="13" customWidth="1"/>
    <col min="2084" max="2086" width="9.625" style="13" customWidth="1"/>
    <col min="2087" max="2087" width="10.125" style="13" customWidth="1"/>
    <col min="2088" max="2092" width="0" style="13" hidden="1" customWidth="1"/>
    <col min="2093" max="2093" width="10.125" style="13" customWidth="1"/>
    <col min="2094" max="2096" width="9.625" style="13" customWidth="1"/>
    <col min="2097" max="2097" width="10.125" style="13" customWidth="1"/>
    <col min="2098" max="2109" width="0" style="13" hidden="1" customWidth="1"/>
    <col min="2110" max="2110" width="10.125" style="13" customWidth="1"/>
    <col min="2111" max="2112" width="9.875" style="13" customWidth="1"/>
    <col min="2113" max="2113" width="12.625" style="13" customWidth="1"/>
    <col min="2114" max="2114" width="9.875" style="13" customWidth="1"/>
    <col min="2115" max="2115" width="12.625" style="13" customWidth="1"/>
    <col min="2116" max="2116" width="10.125" style="13" customWidth="1"/>
    <col min="2117" max="2117" width="9.25" style="13" customWidth="1"/>
    <col min="2118" max="2314" width="9.125" style="13"/>
    <col min="2315" max="2315" width="5.125" style="13" customWidth="1"/>
    <col min="2316" max="2316" width="24" style="13" customWidth="1"/>
    <col min="2317" max="2317" width="7.75" style="13" customWidth="1"/>
    <col min="2318" max="2318" width="9" style="13" customWidth="1"/>
    <col min="2319" max="2321" width="9.125" style="13" customWidth="1"/>
    <col min="2322" max="2322" width="10.125" style="13" customWidth="1"/>
    <col min="2323" max="2323" width="10.75" style="13" customWidth="1"/>
    <col min="2324" max="2324" width="10" style="13" customWidth="1"/>
    <col min="2325" max="2325" width="9.25" style="13" customWidth="1"/>
    <col min="2326" max="2327" width="10.75" style="13" customWidth="1"/>
    <col min="2328" max="2328" width="9.25" style="13" customWidth="1"/>
    <col min="2329" max="2333" width="10.75" style="13" customWidth="1"/>
    <col min="2334" max="2334" width="10.25" style="13" customWidth="1"/>
    <col min="2335" max="2337" width="8.875" style="13" customWidth="1"/>
    <col min="2338" max="2339" width="10.125" style="13" customWidth="1"/>
    <col min="2340" max="2342" width="9.625" style="13" customWidth="1"/>
    <col min="2343" max="2343" width="10.125" style="13" customWidth="1"/>
    <col min="2344" max="2348" width="0" style="13" hidden="1" customWidth="1"/>
    <col min="2349" max="2349" width="10.125" style="13" customWidth="1"/>
    <col min="2350" max="2352" width="9.625" style="13" customWidth="1"/>
    <col min="2353" max="2353" width="10.125" style="13" customWidth="1"/>
    <col min="2354" max="2365" width="0" style="13" hidden="1" customWidth="1"/>
    <col min="2366" max="2366" width="10.125" style="13" customWidth="1"/>
    <col min="2367" max="2368" width="9.875" style="13" customWidth="1"/>
    <col min="2369" max="2369" width="12.625" style="13" customWidth="1"/>
    <col min="2370" max="2370" width="9.875" style="13" customWidth="1"/>
    <col min="2371" max="2371" width="12.625" style="13" customWidth="1"/>
    <col min="2372" max="2372" width="10.125" style="13" customWidth="1"/>
    <col min="2373" max="2373" width="9.25" style="13" customWidth="1"/>
    <col min="2374" max="2570" width="9.125" style="13"/>
    <col min="2571" max="2571" width="5.125" style="13" customWidth="1"/>
    <col min="2572" max="2572" width="24" style="13" customWidth="1"/>
    <col min="2573" max="2573" width="7.75" style="13" customWidth="1"/>
    <col min="2574" max="2574" width="9" style="13" customWidth="1"/>
    <col min="2575" max="2577" width="9.125" style="13" customWidth="1"/>
    <col min="2578" max="2578" width="10.125" style="13" customWidth="1"/>
    <col min="2579" max="2579" width="10.75" style="13" customWidth="1"/>
    <col min="2580" max="2580" width="10" style="13" customWidth="1"/>
    <col min="2581" max="2581" width="9.25" style="13" customWidth="1"/>
    <col min="2582" max="2583" width="10.75" style="13" customWidth="1"/>
    <col min="2584" max="2584" width="9.25" style="13" customWidth="1"/>
    <col min="2585" max="2589" width="10.75" style="13" customWidth="1"/>
    <col min="2590" max="2590" width="10.25" style="13" customWidth="1"/>
    <col min="2591" max="2593" width="8.875" style="13" customWidth="1"/>
    <col min="2594" max="2595" width="10.125" style="13" customWidth="1"/>
    <col min="2596" max="2598" width="9.625" style="13" customWidth="1"/>
    <col min="2599" max="2599" width="10.125" style="13" customWidth="1"/>
    <col min="2600" max="2604" width="0" style="13" hidden="1" customWidth="1"/>
    <col min="2605" max="2605" width="10.125" style="13" customWidth="1"/>
    <col min="2606" max="2608" width="9.625" style="13" customWidth="1"/>
    <col min="2609" max="2609" width="10.125" style="13" customWidth="1"/>
    <col min="2610" max="2621" width="0" style="13" hidden="1" customWidth="1"/>
    <col min="2622" max="2622" width="10.125" style="13" customWidth="1"/>
    <col min="2623" max="2624" width="9.875" style="13" customWidth="1"/>
    <col min="2625" max="2625" width="12.625" style="13" customWidth="1"/>
    <col min="2626" max="2626" width="9.875" style="13" customWidth="1"/>
    <col min="2627" max="2627" width="12.625" style="13" customWidth="1"/>
    <col min="2628" max="2628" width="10.125" style="13" customWidth="1"/>
    <col min="2629" max="2629" width="9.25" style="13" customWidth="1"/>
    <col min="2630" max="2826" width="9.125" style="13"/>
    <col min="2827" max="2827" width="5.125" style="13" customWidth="1"/>
    <col min="2828" max="2828" width="24" style="13" customWidth="1"/>
    <col min="2829" max="2829" width="7.75" style="13" customWidth="1"/>
    <col min="2830" max="2830" width="9" style="13" customWidth="1"/>
    <col min="2831" max="2833" width="9.125" style="13" customWidth="1"/>
    <col min="2834" max="2834" width="10.125" style="13" customWidth="1"/>
    <col min="2835" max="2835" width="10.75" style="13" customWidth="1"/>
    <col min="2836" max="2836" width="10" style="13" customWidth="1"/>
    <col min="2837" max="2837" width="9.25" style="13" customWidth="1"/>
    <col min="2838" max="2839" width="10.75" style="13" customWidth="1"/>
    <col min="2840" max="2840" width="9.25" style="13" customWidth="1"/>
    <col min="2841" max="2845" width="10.75" style="13" customWidth="1"/>
    <col min="2846" max="2846" width="10.25" style="13" customWidth="1"/>
    <col min="2847" max="2849" width="8.875" style="13" customWidth="1"/>
    <col min="2850" max="2851" width="10.125" style="13" customWidth="1"/>
    <col min="2852" max="2854" width="9.625" style="13" customWidth="1"/>
    <col min="2855" max="2855" width="10.125" style="13" customWidth="1"/>
    <col min="2856" max="2860" width="0" style="13" hidden="1" customWidth="1"/>
    <col min="2861" max="2861" width="10.125" style="13" customWidth="1"/>
    <col min="2862" max="2864" width="9.625" style="13" customWidth="1"/>
    <col min="2865" max="2865" width="10.125" style="13" customWidth="1"/>
    <col min="2866" max="2877" width="0" style="13" hidden="1" customWidth="1"/>
    <col min="2878" max="2878" width="10.125" style="13" customWidth="1"/>
    <col min="2879" max="2880" width="9.875" style="13" customWidth="1"/>
    <col min="2881" max="2881" width="12.625" style="13" customWidth="1"/>
    <col min="2882" max="2882" width="9.875" style="13" customWidth="1"/>
    <col min="2883" max="2883" width="12.625" style="13" customWidth="1"/>
    <col min="2884" max="2884" width="10.125" style="13" customWidth="1"/>
    <col min="2885" max="2885" width="9.25" style="13" customWidth="1"/>
    <col min="2886" max="3082" width="9.125" style="13"/>
    <col min="3083" max="3083" width="5.125" style="13" customWidth="1"/>
    <col min="3084" max="3084" width="24" style="13" customWidth="1"/>
    <col min="3085" max="3085" width="7.75" style="13" customWidth="1"/>
    <col min="3086" max="3086" width="9" style="13" customWidth="1"/>
    <col min="3087" max="3089" width="9.125" style="13" customWidth="1"/>
    <col min="3090" max="3090" width="10.125" style="13" customWidth="1"/>
    <col min="3091" max="3091" width="10.75" style="13" customWidth="1"/>
    <col min="3092" max="3092" width="10" style="13" customWidth="1"/>
    <col min="3093" max="3093" width="9.25" style="13" customWidth="1"/>
    <col min="3094" max="3095" width="10.75" style="13" customWidth="1"/>
    <col min="3096" max="3096" width="9.25" style="13" customWidth="1"/>
    <col min="3097" max="3101" width="10.75" style="13" customWidth="1"/>
    <col min="3102" max="3102" width="10.25" style="13" customWidth="1"/>
    <col min="3103" max="3105" width="8.875" style="13" customWidth="1"/>
    <col min="3106" max="3107" width="10.125" style="13" customWidth="1"/>
    <col min="3108" max="3110" width="9.625" style="13" customWidth="1"/>
    <col min="3111" max="3111" width="10.125" style="13" customWidth="1"/>
    <col min="3112" max="3116" width="0" style="13" hidden="1" customWidth="1"/>
    <col min="3117" max="3117" width="10.125" style="13" customWidth="1"/>
    <col min="3118" max="3120" width="9.625" style="13" customWidth="1"/>
    <col min="3121" max="3121" width="10.125" style="13" customWidth="1"/>
    <col min="3122" max="3133" width="0" style="13" hidden="1" customWidth="1"/>
    <col min="3134" max="3134" width="10.125" style="13" customWidth="1"/>
    <col min="3135" max="3136" width="9.875" style="13" customWidth="1"/>
    <col min="3137" max="3137" width="12.625" style="13" customWidth="1"/>
    <col min="3138" max="3138" width="9.875" style="13" customWidth="1"/>
    <col min="3139" max="3139" width="12.625" style="13" customWidth="1"/>
    <col min="3140" max="3140" width="10.125" style="13" customWidth="1"/>
    <col min="3141" max="3141" width="9.25" style="13" customWidth="1"/>
    <col min="3142" max="3338" width="9.125" style="13"/>
    <col min="3339" max="3339" width="5.125" style="13" customWidth="1"/>
    <col min="3340" max="3340" width="24" style="13" customWidth="1"/>
    <col min="3341" max="3341" width="7.75" style="13" customWidth="1"/>
    <col min="3342" max="3342" width="9" style="13" customWidth="1"/>
    <col min="3343" max="3345" width="9.125" style="13" customWidth="1"/>
    <col min="3346" max="3346" width="10.125" style="13" customWidth="1"/>
    <col min="3347" max="3347" width="10.75" style="13" customWidth="1"/>
    <col min="3348" max="3348" width="10" style="13" customWidth="1"/>
    <col min="3349" max="3349" width="9.25" style="13" customWidth="1"/>
    <col min="3350" max="3351" width="10.75" style="13" customWidth="1"/>
    <col min="3352" max="3352" width="9.25" style="13" customWidth="1"/>
    <col min="3353" max="3357" width="10.75" style="13" customWidth="1"/>
    <col min="3358" max="3358" width="10.25" style="13" customWidth="1"/>
    <col min="3359" max="3361" width="8.875" style="13" customWidth="1"/>
    <col min="3362" max="3363" width="10.125" style="13" customWidth="1"/>
    <col min="3364" max="3366" width="9.625" style="13" customWidth="1"/>
    <col min="3367" max="3367" width="10.125" style="13" customWidth="1"/>
    <col min="3368" max="3372" width="0" style="13" hidden="1" customWidth="1"/>
    <col min="3373" max="3373" width="10.125" style="13" customWidth="1"/>
    <col min="3374" max="3376" width="9.625" style="13" customWidth="1"/>
    <col min="3377" max="3377" width="10.125" style="13" customWidth="1"/>
    <col min="3378" max="3389" width="0" style="13" hidden="1" customWidth="1"/>
    <col min="3390" max="3390" width="10.125" style="13" customWidth="1"/>
    <col min="3391" max="3392" width="9.875" style="13" customWidth="1"/>
    <col min="3393" max="3393" width="12.625" style="13" customWidth="1"/>
    <col min="3394" max="3394" width="9.875" style="13" customWidth="1"/>
    <col min="3395" max="3395" width="12.625" style="13" customWidth="1"/>
    <col min="3396" max="3396" width="10.125" style="13" customWidth="1"/>
    <col min="3397" max="3397" width="9.25" style="13" customWidth="1"/>
    <col min="3398" max="3594" width="9.125" style="13"/>
    <col min="3595" max="3595" width="5.125" style="13" customWidth="1"/>
    <col min="3596" max="3596" width="24" style="13" customWidth="1"/>
    <col min="3597" max="3597" width="7.75" style="13" customWidth="1"/>
    <col min="3598" max="3598" width="9" style="13" customWidth="1"/>
    <col min="3599" max="3601" width="9.125" style="13" customWidth="1"/>
    <col min="3602" max="3602" width="10.125" style="13" customWidth="1"/>
    <col min="3603" max="3603" width="10.75" style="13" customWidth="1"/>
    <col min="3604" max="3604" width="10" style="13" customWidth="1"/>
    <col min="3605" max="3605" width="9.25" style="13" customWidth="1"/>
    <col min="3606" max="3607" width="10.75" style="13" customWidth="1"/>
    <col min="3608" max="3608" width="9.25" style="13" customWidth="1"/>
    <col min="3609" max="3613" width="10.75" style="13" customWidth="1"/>
    <col min="3614" max="3614" width="10.25" style="13" customWidth="1"/>
    <col min="3615" max="3617" width="8.875" style="13" customWidth="1"/>
    <col min="3618" max="3619" width="10.125" style="13" customWidth="1"/>
    <col min="3620" max="3622" width="9.625" style="13" customWidth="1"/>
    <col min="3623" max="3623" width="10.125" style="13" customWidth="1"/>
    <col min="3624" max="3628" width="0" style="13" hidden="1" customWidth="1"/>
    <col min="3629" max="3629" width="10.125" style="13" customWidth="1"/>
    <col min="3630" max="3632" width="9.625" style="13" customWidth="1"/>
    <col min="3633" max="3633" width="10.125" style="13" customWidth="1"/>
    <col min="3634" max="3645" width="0" style="13" hidden="1" customWidth="1"/>
    <col min="3646" max="3646" width="10.125" style="13" customWidth="1"/>
    <col min="3647" max="3648" width="9.875" style="13" customWidth="1"/>
    <col min="3649" max="3649" width="12.625" style="13" customWidth="1"/>
    <col min="3650" max="3650" width="9.875" style="13" customWidth="1"/>
    <col min="3651" max="3651" width="12.625" style="13" customWidth="1"/>
    <col min="3652" max="3652" width="10.125" style="13" customWidth="1"/>
    <col min="3653" max="3653" width="9.25" style="13" customWidth="1"/>
    <col min="3654" max="3850" width="9.125" style="13"/>
    <col min="3851" max="3851" width="5.125" style="13" customWidth="1"/>
    <col min="3852" max="3852" width="24" style="13" customWidth="1"/>
    <col min="3853" max="3853" width="7.75" style="13" customWidth="1"/>
    <col min="3854" max="3854" width="9" style="13" customWidth="1"/>
    <col min="3855" max="3857" width="9.125" style="13" customWidth="1"/>
    <col min="3858" max="3858" width="10.125" style="13" customWidth="1"/>
    <col min="3859" max="3859" width="10.75" style="13" customWidth="1"/>
    <col min="3860" max="3860" width="10" style="13" customWidth="1"/>
    <col min="3861" max="3861" width="9.25" style="13" customWidth="1"/>
    <col min="3862" max="3863" width="10.75" style="13" customWidth="1"/>
    <col min="3864" max="3864" width="9.25" style="13" customWidth="1"/>
    <col min="3865" max="3869" width="10.75" style="13" customWidth="1"/>
    <col min="3870" max="3870" width="10.25" style="13" customWidth="1"/>
    <col min="3871" max="3873" width="8.875" style="13" customWidth="1"/>
    <col min="3874" max="3875" width="10.125" style="13" customWidth="1"/>
    <col min="3876" max="3878" width="9.625" style="13" customWidth="1"/>
    <col min="3879" max="3879" width="10.125" style="13" customWidth="1"/>
    <col min="3880" max="3884" width="0" style="13" hidden="1" customWidth="1"/>
    <col min="3885" max="3885" width="10.125" style="13" customWidth="1"/>
    <col min="3886" max="3888" width="9.625" style="13" customWidth="1"/>
    <col min="3889" max="3889" width="10.125" style="13" customWidth="1"/>
    <col min="3890" max="3901" width="0" style="13" hidden="1" customWidth="1"/>
    <col min="3902" max="3902" width="10.125" style="13" customWidth="1"/>
    <col min="3903" max="3904" width="9.875" style="13" customWidth="1"/>
    <col min="3905" max="3905" width="12.625" style="13" customWidth="1"/>
    <col min="3906" max="3906" width="9.875" style="13" customWidth="1"/>
    <col min="3907" max="3907" width="12.625" style="13" customWidth="1"/>
    <col min="3908" max="3908" width="10.125" style="13" customWidth="1"/>
    <col min="3909" max="3909" width="9.25" style="13" customWidth="1"/>
    <col min="3910" max="4106" width="9.125" style="13"/>
    <col min="4107" max="4107" width="5.125" style="13" customWidth="1"/>
    <col min="4108" max="4108" width="24" style="13" customWidth="1"/>
    <col min="4109" max="4109" width="7.75" style="13" customWidth="1"/>
    <col min="4110" max="4110" width="9" style="13" customWidth="1"/>
    <col min="4111" max="4113" width="9.125" style="13" customWidth="1"/>
    <col min="4114" max="4114" width="10.125" style="13" customWidth="1"/>
    <col min="4115" max="4115" width="10.75" style="13" customWidth="1"/>
    <col min="4116" max="4116" width="10" style="13" customWidth="1"/>
    <col min="4117" max="4117" width="9.25" style="13" customWidth="1"/>
    <col min="4118" max="4119" width="10.75" style="13" customWidth="1"/>
    <col min="4120" max="4120" width="9.25" style="13" customWidth="1"/>
    <col min="4121" max="4125" width="10.75" style="13" customWidth="1"/>
    <col min="4126" max="4126" width="10.25" style="13" customWidth="1"/>
    <col min="4127" max="4129" width="8.875" style="13" customWidth="1"/>
    <col min="4130" max="4131" width="10.125" style="13" customWidth="1"/>
    <col min="4132" max="4134" width="9.625" style="13" customWidth="1"/>
    <col min="4135" max="4135" width="10.125" style="13" customWidth="1"/>
    <col min="4136" max="4140" width="0" style="13" hidden="1" customWidth="1"/>
    <col min="4141" max="4141" width="10.125" style="13" customWidth="1"/>
    <col min="4142" max="4144" width="9.625" style="13" customWidth="1"/>
    <col min="4145" max="4145" width="10.125" style="13" customWidth="1"/>
    <col min="4146" max="4157" width="0" style="13" hidden="1" customWidth="1"/>
    <col min="4158" max="4158" width="10.125" style="13" customWidth="1"/>
    <col min="4159" max="4160" width="9.875" style="13" customWidth="1"/>
    <col min="4161" max="4161" width="12.625" style="13" customWidth="1"/>
    <col min="4162" max="4162" width="9.875" style="13" customWidth="1"/>
    <col min="4163" max="4163" width="12.625" style="13" customWidth="1"/>
    <col min="4164" max="4164" width="10.125" style="13" customWidth="1"/>
    <col min="4165" max="4165" width="9.25" style="13" customWidth="1"/>
    <col min="4166" max="4362" width="9.125" style="13"/>
    <col min="4363" max="4363" width="5.125" style="13" customWidth="1"/>
    <col min="4364" max="4364" width="24" style="13" customWidth="1"/>
    <col min="4365" max="4365" width="7.75" style="13" customWidth="1"/>
    <col min="4366" max="4366" width="9" style="13" customWidth="1"/>
    <col min="4367" max="4369" width="9.125" style="13" customWidth="1"/>
    <col min="4370" max="4370" width="10.125" style="13" customWidth="1"/>
    <col min="4371" max="4371" width="10.75" style="13" customWidth="1"/>
    <col min="4372" max="4372" width="10" style="13" customWidth="1"/>
    <col min="4373" max="4373" width="9.25" style="13" customWidth="1"/>
    <col min="4374" max="4375" width="10.75" style="13" customWidth="1"/>
    <col min="4376" max="4376" width="9.25" style="13" customWidth="1"/>
    <col min="4377" max="4381" width="10.75" style="13" customWidth="1"/>
    <col min="4382" max="4382" width="10.25" style="13" customWidth="1"/>
    <col min="4383" max="4385" width="8.875" style="13" customWidth="1"/>
    <col min="4386" max="4387" width="10.125" style="13" customWidth="1"/>
    <col min="4388" max="4390" width="9.625" style="13" customWidth="1"/>
    <col min="4391" max="4391" width="10.125" style="13" customWidth="1"/>
    <col min="4392" max="4396" width="0" style="13" hidden="1" customWidth="1"/>
    <col min="4397" max="4397" width="10.125" style="13" customWidth="1"/>
    <col min="4398" max="4400" width="9.625" style="13" customWidth="1"/>
    <col min="4401" max="4401" width="10.125" style="13" customWidth="1"/>
    <col min="4402" max="4413" width="0" style="13" hidden="1" customWidth="1"/>
    <col min="4414" max="4414" width="10.125" style="13" customWidth="1"/>
    <col min="4415" max="4416" width="9.875" style="13" customWidth="1"/>
    <col min="4417" max="4417" width="12.625" style="13" customWidth="1"/>
    <col min="4418" max="4418" width="9.875" style="13" customWidth="1"/>
    <col min="4419" max="4419" width="12.625" style="13" customWidth="1"/>
    <col min="4420" max="4420" width="10.125" style="13" customWidth="1"/>
    <col min="4421" max="4421" width="9.25" style="13" customWidth="1"/>
    <col min="4422" max="4618" width="9.125" style="13"/>
    <col min="4619" max="4619" width="5.125" style="13" customWidth="1"/>
    <col min="4620" max="4620" width="24" style="13" customWidth="1"/>
    <col min="4621" max="4621" width="7.75" style="13" customWidth="1"/>
    <col min="4622" max="4622" width="9" style="13" customWidth="1"/>
    <col min="4623" max="4625" width="9.125" style="13" customWidth="1"/>
    <col min="4626" max="4626" width="10.125" style="13" customWidth="1"/>
    <col min="4627" max="4627" width="10.75" style="13" customWidth="1"/>
    <col min="4628" max="4628" width="10" style="13" customWidth="1"/>
    <col min="4629" max="4629" width="9.25" style="13" customWidth="1"/>
    <col min="4630" max="4631" width="10.75" style="13" customWidth="1"/>
    <col min="4632" max="4632" width="9.25" style="13" customWidth="1"/>
    <col min="4633" max="4637" width="10.75" style="13" customWidth="1"/>
    <col min="4638" max="4638" width="10.25" style="13" customWidth="1"/>
    <col min="4639" max="4641" width="8.875" style="13" customWidth="1"/>
    <col min="4642" max="4643" width="10.125" style="13" customWidth="1"/>
    <col min="4644" max="4646" width="9.625" style="13" customWidth="1"/>
    <col min="4647" max="4647" width="10.125" style="13" customWidth="1"/>
    <col min="4648" max="4652" width="0" style="13" hidden="1" customWidth="1"/>
    <col min="4653" max="4653" width="10.125" style="13" customWidth="1"/>
    <col min="4654" max="4656" width="9.625" style="13" customWidth="1"/>
    <col min="4657" max="4657" width="10.125" style="13" customWidth="1"/>
    <col min="4658" max="4669" width="0" style="13" hidden="1" customWidth="1"/>
    <col min="4670" max="4670" width="10.125" style="13" customWidth="1"/>
    <col min="4671" max="4672" width="9.875" style="13" customWidth="1"/>
    <col min="4673" max="4673" width="12.625" style="13" customWidth="1"/>
    <col min="4674" max="4674" width="9.875" style="13" customWidth="1"/>
    <col min="4675" max="4675" width="12.625" style="13" customWidth="1"/>
    <col min="4676" max="4676" width="10.125" style="13" customWidth="1"/>
    <col min="4677" max="4677" width="9.25" style="13" customWidth="1"/>
    <col min="4678" max="4874" width="9.125" style="13"/>
    <col min="4875" max="4875" width="5.125" style="13" customWidth="1"/>
    <col min="4876" max="4876" width="24" style="13" customWidth="1"/>
    <col min="4877" max="4877" width="7.75" style="13" customWidth="1"/>
    <col min="4878" max="4878" width="9" style="13" customWidth="1"/>
    <col min="4879" max="4881" width="9.125" style="13" customWidth="1"/>
    <col min="4882" max="4882" width="10.125" style="13" customWidth="1"/>
    <col min="4883" max="4883" width="10.75" style="13" customWidth="1"/>
    <col min="4884" max="4884" width="10" style="13" customWidth="1"/>
    <col min="4885" max="4885" width="9.25" style="13" customWidth="1"/>
    <col min="4886" max="4887" width="10.75" style="13" customWidth="1"/>
    <col min="4888" max="4888" width="9.25" style="13" customWidth="1"/>
    <col min="4889" max="4893" width="10.75" style="13" customWidth="1"/>
    <col min="4894" max="4894" width="10.25" style="13" customWidth="1"/>
    <col min="4895" max="4897" width="8.875" style="13" customWidth="1"/>
    <col min="4898" max="4899" width="10.125" style="13" customWidth="1"/>
    <col min="4900" max="4902" width="9.625" style="13" customWidth="1"/>
    <col min="4903" max="4903" width="10.125" style="13" customWidth="1"/>
    <col min="4904" max="4908" width="0" style="13" hidden="1" customWidth="1"/>
    <col min="4909" max="4909" width="10.125" style="13" customWidth="1"/>
    <col min="4910" max="4912" width="9.625" style="13" customWidth="1"/>
    <col min="4913" max="4913" width="10.125" style="13" customWidth="1"/>
    <col min="4914" max="4925" width="0" style="13" hidden="1" customWidth="1"/>
    <col min="4926" max="4926" width="10.125" style="13" customWidth="1"/>
    <col min="4927" max="4928" width="9.875" style="13" customWidth="1"/>
    <col min="4929" max="4929" width="12.625" style="13" customWidth="1"/>
    <col min="4930" max="4930" width="9.875" style="13" customWidth="1"/>
    <col min="4931" max="4931" width="12.625" style="13" customWidth="1"/>
    <col min="4932" max="4932" width="10.125" style="13" customWidth="1"/>
    <col min="4933" max="4933" width="9.25" style="13" customWidth="1"/>
    <col min="4934" max="5130" width="9.125" style="13"/>
    <col min="5131" max="5131" width="5.125" style="13" customWidth="1"/>
    <col min="5132" max="5132" width="24" style="13" customWidth="1"/>
    <col min="5133" max="5133" width="7.75" style="13" customWidth="1"/>
    <col min="5134" max="5134" width="9" style="13" customWidth="1"/>
    <col min="5135" max="5137" width="9.125" style="13" customWidth="1"/>
    <col min="5138" max="5138" width="10.125" style="13" customWidth="1"/>
    <col min="5139" max="5139" width="10.75" style="13" customWidth="1"/>
    <col min="5140" max="5140" width="10" style="13" customWidth="1"/>
    <col min="5141" max="5141" width="9.25" style="13" customWidth="1"/>
    <col min="5142" max="5143" width="10.75" style="13" customWidth="1"/>
    <col min="5144" max="5144" width="9.25" style="13" customWidth="1"/>
    <col min="5145" max="5149" width="10.75" style="13" customWidth="1"/>
    <col min="5150" max="5150" width="10.25" style="13" customWidth="1"/>
    <col min="5151" max="5153" width="8.875" style="13" customWidth="1"/>
    <col min="5154" max="5155" width="10.125" style="13" customWidth="1"/>
    <col min="5156" max="5158" width="9.625" style="13" customWidth="1"/>
    <col min="5159" max="5159" width="10.125" style="13" customWidth="1"/>
    <col min="5160" max="5164" width="0" style="13" hidden="1" customWidth="1"/>
    <col min="5165" max="5165" width="10.125" style="13" customWidth="1"/>
    <col min="5166" max="5168" width="9.625" style="13" customWidth="1"/>
    <col min="5169" max="5169" width="10.125" style="13" customWidth="1"/>
    <col min="5170" max="5181" width="0" style="13" hidden="1" customWidth="1"/>
    <col min="5182" max="5182" width="10.125" style="13" customWidth="1"/>
    <col min="5183" max="5184" width="9.875" style="13" customWidth="1"/>
    <col min="5185" max="5185" width="12.625" style="13" customWidth="1"/>
    <col min="5186" max="5186" width="9.875" style="13" customWidth="1"/>
    <col min="5187" max="5187" width="12.625" style="13" customWidth="1"/>
    <col min="5188" max="5188" width="10.125" style="13" customWidth="1"/>
    <col min="5189" max="5189" width="9.25" style="13" customWidth="1"/>
    <col min="5190" max="5386" width="9.125" style="13"/>
    <col min="5387" max="5387" width="5.125" style="13" customWidth="1"/>
    <col min="5388" max="5388" width="24" style="13" customWidth="1"/>
    <col min="5389" max="5389" width="7.75" style="13" customWidth="1"/>
    <col min="5390" max="5390" width="9" style="13" customWidth="1"/>
    <col min="5391" max="5393" width="9.125" style="13" customWidth="1"/>
    <col min="5394" max="5394" width="10.125" style="13" customWidth="1"/>
    <col min="5395" max="5395" width="10.75" style="13" customWidth="1"/>
    <col min="5396" max="5396" width="10" style="13" customWidth="1"/>
    <col min="5397" max="5397" width="9.25" style="13" customWidth="1"/>
    <col min="5398" max="5399" width="10.75" style="13" customWidth="1"/>
    <col min="5400" max="5400" width="9.25" style="13" customWidth="1"/>
    <col min="5401" max="5405" width="10.75" style="13" customWidth="1"/>
    <col min="5406" max="5406" width="10.25" style="13" customWidth="1"/>
    <col min="5407" max="5409" width="8.875" style="13" customWidth="1"/>
    <col min="5410" max="5411" width="10.125" style="13" customWidth="1"/>
    <col min="5412" max="5414" width="9.625" style="13" customWidth="1"/>
    <col min="5415" max="5415" width="10.125" style="13" customWidth="1"/>
    <col min="5416" max="5420" width="0" style="13" hidden="1" customWidth="1"/>
    <col min="5421" max="5421" width="10.125" style="13" customWidth="1"/>
    <col min="5422" max="5424" width="9.625" style="13" customWidth="1"/>
    <col min="5425" max="5425" width="10.125" style="13" customWidth="1"/>
    <col min="5426" max="5437" width="0" style="13" hidden="1" customWidth="1"/>
    <col min="5438" max="5438" width="10.125" style="13" customWidth="1"/>
    <col min="5439" max="5440" width="9.875" style="13" customWidth="1"/>
    <col min="5441" max="5441" width="12.625" style="13" customWidth="1"/>
    <col min="5442" max="5442" width="9.875" style="13" customWidth="1"/>
    <col min="5443" max="5443" width="12.625" style="13" customWidth="1"/>
    <col min="5444" max="5444" width="10.125" style="13" customWidth="1"/>
    <col min="5445" max="5445" width="9.25" style="13" customWidth="1"/>
    <col min="5446" max="5642" width="9.125" style="13"/>
    <col min="5643" max="5643" width="5.125" style="13" customWidth="1"/>
    <col min="5644" max="5644" width="24" style="13" customWidth="1"/>
    <col min="5645" max="5645" width="7.75" style="13" customWidth="1"/>
    <col min="5646" max="5646" width="9" style="13" customWidth="1"/>
    <col min="5647" max="5649" width="9.125" style="13" customWidth="1"/>
    <col min="5650" max="5650" width="10.125" style="13" customWidth="1"/>
    <col min="5651" max="5651" width="10.75" style="13" customWidth="1"/>
    <col min="5652" max="5652" width="10" style="13" customWidth="1"/>
    <col min="5653" max="5653" width="9.25" style="13" customWidth="1"/>
    <col min="5654" max="5655" width="10.75" style="13" customWidth="1"/>
    <col min="5656" max="5656" width="9.25" style="13" customWidth="1"/>
    <col min="5657" max="5661" width="10.75" style="13" customWidth="1"/>
    <col min="5662" max="5662" width="10.25" style="13" customWidth="1"/>
    <col min="5663" max="5665" width="8.875" style="13" customWidth="1"/>
    <col min="5666" max="5667" width="10.125" style="13" customWidth="1"/>
    <col min="5668" max="5670" width="9.625" style="13" customWidth="1"/>
    <col min="5671" max="5671" width="10.125" style="13" customWidth="1"/>
    <col min="5672" max="5676" width="0" style="13" hidden="1" customWidth="1"/>
    <col min="5677" max="5677" width="10.125" style="13" customWidth="1"/>
    <col min="5678" max="5680" width="9.625" style="13" customWidth="1"/>
    <col min="5681" max="5681" width="10.125" style="13" customWidth="1"/>
    <col min="5682" max="5693" width="0" style="13" hidden="1" customWidth="1"/>
    <col min="5694" max="5694" width="10.125" style="13" customWidth="1"/>
    <col min="5695" max="5696" width="9.875" style="13" customWidth="1"/>
    <col min="5697" max="5697" width="12.625" style="13" customWidth="1"/>
    <col min="5698" max="5698" width="9.875" style="13" customWidth="1"/>
    <col min="5699" max="5699" width="12.625" style="13" customWidth="1"/>
    <col min="5700" max="5700" width="10.125" style="13" customWidth="1"/>
    <col min="5701" max="5701" width="9.25" style="13" customWidth="1"/>
    <col min="5702" max="5898" width="9.125" style="13"/>
    <col min="5899" max="5899" width="5.125" style="13" customWidth="1"/>
    <col min="5900" max="5900" width="24" style="13" customWidth="1"/>
    <col min="5901" max="5901" width="7.75" style="13" customWidth="1"/>
    <col min="5902" max="5902" width="9" style="13" customWidth="1"/>
    <col min="5903" max="5905" width="9.125" style="13" customWidth="1"/>
    <col min="5906" max="5906" width="10.125" style="13" customWidth="1"/>
    <col min="5907" max="5907" width="10.75" style="13" customWidth="1"/>
    <col min="5908" max="5908" width="10" style="13" customWidth="1"/>
    <col min="5909" max="5909" width="9.25" style="13" customWidth="1"/>
    <col min="5910" max="5911" width="10.75" style="13" customWidth="1"/>
    <col min="5912" max="5912" width="9.25" style="13" customWidth="1"/>
    <col min="5913" max="5917" width="10.75" style="13" customWidth="1"/>
    <col min="5918" max="5918" width="10.25" style="13" customWidth="1"/>
    <col min="5919" max="5921" width="8.875" style="13" customWidth="1"/>
    <col min="5922" max="5923" width="10.125" style="13" customWidth="1"/>
    <col min="5924" max="5926" width="9.625" style="13" customWidth="1"/>
    <col min="5927" max="5927" width="10.125" style="13" customWidth="1"/>
    <col min="5928" max="5932" width="0" style="13" hidden="1" customWidth="1"/>
    <col min="5933" max="5933" width="10.125" style="13" customWidth="1"/>
    <col min="5934" max="5936" width="9.625" style="13" customWidth="1"/>
    <col min="5937" max="5937" width="10.125" style="13" customWidth="1"/>
    <col min="5938" max="5949" width="0" style="13" hidden="1" customWidth="1"/>
    <col min="5950" max="5950" width="10.125" style="13" customWidth="1"/>
    <col min="5951" max="5952" width="9.875" style="13" customWidth="1"/>
    <col min="5953" max="5953" width="12.625" style="13" customWidth="1"/>
    <col min="5954" max="5954" width="9.875" style="13" customWidth="1"/>
    <col min="5955" max="5955" width="12.625" style="13" customWidth="1"/>
    <col min="5956" max="5956" width="10.125" style="13" customWidth="1"/>
    <col min="5957" max="5957" width="9.25" style="13" customWidth="1"/>
    <col min="5958" max="6154" width="9.125" style="13"/>
    <col min="6155" max="6155" width="5.125" style="13" customWidth="1"/>
    <col min="6156" max="6156" width="24" style="13" customWidth="1"/>
    <col min="6157" max="6157" width="7.75" style="13" customWidth="1"/>
    <col min="6158" max="6158" width="9" style="13" customWidth="1"/>
    <col min="6159" max="6161" width="9.125" style="13" customWidth="1"/>
    <col min="6162" max="6162" width="10.125" style="13" customWidth="1"/>
    <col min="6163" max="6163" width="10.75" style="13" customWidth="1"/>
    <col min="6164" max="6164" width="10" style="13" customWidth="1"/>
    <col min="6165" max="6165" width="9.25" style="13" customWidth="1"/>
    <col min="6166" max="6167" width="10.75" style="13" customWidth="1"/>
    <col min="6168" max="6168" width="9.25" style="13" customWidth="1"/>
    <col min="6169" max="6173" width="10.75" style="13" customWidth="1"/>
    <col min="6174" max="6174" width="10.25" style="13" customWidth="1"/>
    <col min="6175" max="6177" width="8.875" style="13" customWidth="1"/>
    <col min="6178" max="6179" width="10.125" style="13" customWidth="1"/>
    <col min="6180" max="6182" width="9.625" style="13" customWidth="1"/>
    <col min="6183" max="6183" width="10.125" style="13" customWidth="1"/>
    <col min="6184" max="6188" width="0" style="13" hidden="1" customWidth="1"/>
    <col min="6189" max="6189" width="10.125" style="13" customWidth="1"/>
    <col min="6190" max="6192" width="9.625" style="13" customWidth="1"/>
    <col min="6193" max="6193" width="10.125" style="13" customWidth="1"/>
    <col min="6194" max="6205" width="0" style="13" hidden="1" customWidth="1"/>
    <col min="6206" max="6206" width="10.125" style="13" customWidth="1"/>
    <col min="6207" max="6208" width="9.875" style="13" customWidth="1"/>
    <col min="6209" max="6209" width="12.625" style="13" customWidth="1"/>
    <col min="6210" max="6210" width="9.875" style="13" customWidth="1"/>
    <col min="6211" max="6211" width="12.625" style="13" customWidth="1"/>
    <col min="6212" max="6212" width="10.125" style="13" customWidth="1"/>
    <col min="6213" max="6213" width="9.25" style="13" customWidth="1"/>
    <col min="6214" max="6410" width="9.125" style="13"/>
    <col min="6411" max="6411" width="5.125" style="13" customWidth="1"/>
    <col min="6412" max="6412" width="24" style="13" customWidth="1"/>
    <col min="6413" max="6413" width="7.75" style="13" customWidth="1"/>
    <col min="6414" max="6414" width="9" style="13" customWidth="1"/>
    <col min="6415" max="6417" width="9.125" style="13" customWidth="1"/>
    <col min="6418" max="6418" width="10.125" style="13" customWidth="1"/>
    <col min="6419" max="6419" width="10.75" style="13" customWidth="1"/>
    <col min="6420" max="6420" width="10" style="13" customWidth="1"/>
    <col min="6421" max="6421" width="9.25" style="13" customWidth="1"/>
    <col min="6422" max="6423" width="10.75" style="13" customWidth="1"/>
    <col min="6424" max="6424" width="9.25" style="13" customWidth="1"/>
    <col min="6425" max="6429" width="10.75" style="13" customWidth="1"/>
    <col min="6430" max="6430" width="10.25" style="13" customWidth="1"/>
    <col min="6431" max="6433" width="8.875" style="13" customWidth="1"/>
    <col min="6434" max="6435" width="10.125" style="13" customWidth="1"/>
    <col min="6436" max="6438" width="9.625" style="13" customWidth="1"/>
    <col min="6439" max="6439" width="10.125" style="13" customWidth="1"/>
    <col min="6440" max="6444" width="0" style="13" hidden="1" customWidth="1"/>
    <col min="6445" max="6445" width="10.125" style="13" customWidth="1"/>
    <col min="6446" max="6448" width="9.625" style="13" customWidth="1"/>
    <col min="6449" max="6449" width="10.125" style="13" customWidth="1"/>
    <col min="6450" max="6461" width="0" style="13" hidden="1" customWidth="1"/>
    <col min="6462" max="6462" width="10.125" style="13" customWidth="1"/>
    <col min="6463" max="6464" width="9.875" style="13" customWidth="1"/>
    <col min="6465" max="6465" width="12.625" style="13" customWidth="1"/>
    <col min="6466" max="6466" width="9.875" style="13" customWidth="1"/>
    <col min="6467" max="6467" width="12.625" style="13" customWidth="1"/>
    <col min="6468" max="6468" width="10.125" style="13" customWidth="1"/>
    <col min="6469" max="6469" width="9.25" style="13" customWidth="1"/>
    <col min="6470" max="6666" width="9.125" style="13"/>
    <col min="6667" max="6667" width="5.125" style="13" customWidth="1"/>
    <col min="6668" max="6668" width="24" style="13" customWidth="1"/>
    <col min="6669" max="6669" width="7.75" style="13" customWidth="1"/>
    <col min="6670" max="6670" width="9" style="13" customWidth="1"/>
    <col min="6671" max="6673" width="9.125" style="13" customWidth="1"/>
    <col min="6674" max="6674" width="10.125" style="13" customWidth="1"/>
    <col min="6675" max="6675" width="10.75" style="13" customWidth="1"/>
    <col min="6676" max="6676" width="10" style="13" customWidth="1"/>
    <col min="6677" max="6677" width="9.25" style="13" customWidth="1"/>
    <col min="6678" max="6679" width="10.75" style="13" customWidth="1"/>
    <col min="6680" max="6680" width="9.25" style="13" customWidth="1"/>
    <col min="6681" max="6685" width="10.75" style="13" customWidth="1"/>
    <col min="6686" max="6686" width="10.25" style="13" customWidth="1"/>
    <col min="6687" max="6689" width="8.875" style="13" customWidth="1"/>
    <col min="6690" max="6691" width="10.125" style="13" customWidth="1"/>
    <col min="6692" max="6694" width="9.625" style="13" customWidth="1"/>
    <col min="6695" max="6695" width="10.125" style="13" customWidth="1"/>
    <col min="6696" max="6700" width="0" style="13" hidden="1" customWidth="1"/>
    <col min="6701" max="6701" width="10.125" style="13" customWidth="1"/>
    <col min="6702" max="6704" width="9.625" style="13" customWidth="1"/>
    <col min="6705" max="6705" width="10.125" style="13" customWidth="1"/>
    <col min="6706" max="6717" width="0" style="13" hidden="1" customWidth="1"/>
    <col min="6718" max="6718" width="10.125" style="13" customWidth="1"/>
    <col min="6719" max="6720" width="9.875" style="13" customWidth="1"/>
    <col min="6721" max="6721" width="12.625" style="13" customWidth="1"/>
    <col min="6722" max="6722" width="9.875" style="13" customWidth="1"/>
    <col min="6723" max="6723" width="12.625" style="13" customWidth="1"/>
    <col min="6724" max="6724" width="10.125" style="13" customWidth="1"/>
    <col min="6725" max="6725" width="9.25" style="13" customWidth="1"/>
    <col min="6726" max="6922" width="9.125" style="13"/>
    <col min="6923" max="6923" width="5.125" style="13" customWidth="1"/>
    <col min="6924" max="6924" width="24" style="13" customWidth="1"/>
    <col min="6925" max="6925" width="7.75" style="13" customWidth="1"/>
    <col min="6926" max="6926" width="9" style="13" customWidth="1"/>
    <col min="6927" max="6929" width="9.125" style="13" customWidth="1"/>
    <col min="6930" max="6930" width="10.125" style="13" customWidth="1"/>
    <col min="6931" max="6931" width="10.75" style="13" customWidth="1"/>
    <col min="6932" max="6932" width="10" style="13" customWidth="1"/>
    <col min="6933" max="6933" width="9.25" style="13" customWidth="1"/>
    <col min="6934" max="6935" width="10.75" style="13" customWidth="1"/>
    <col min="6936" max="6936" width="9.25" style="13" customWidth="1"/>
    <col min="6937" max="6941" width="10.75" style="13" customWidth="1"/>
    <col min="6942" max="6942" width="10.25" style="13" customWidth="1"/>
    <col min="6943" max="6945" width="8.875" style="13" customWidth="1"/>
    <col min="6946" max="6947" width="10.125" style="13" customWidth="1"/>
    <col min="6948" max="6950" width="9.625" style="13" customWidth="1"/>
    <col min="6951" max="6951" width="10.125" style="13" customWidth="1"/>
    <col min="6952" max="6956" width="0" style="13" hidden="1" customWidth="1"/>
    <col min="6957" max="6957" width="10.125" style="13" customWidth="1"/>
    <col min="6958" max="6960" width="9.625" style="13" customWidth="1"/>
    <col min="6961" max="6961" width="10.125" style="13" customWidth="1"/>
    <col min="6962" max="6973" width="0" style="13" hidden="1" customWidth="1"/>
    <col min="6974" max="6974" width="10.125" style="13" customWidth="1"/>
    <col min="6975" max="6976" width="9.875" style="13" customWidth="1"/>
    <col min="6977" max="6977" width="12.625" style="13" customWidth="1"/>
    <col min="6978" max="6978" width="9.875" style="13" customWidth="1"/>
    <col min="6979" max="6979" width="12.625" style="13" customWidth="1"/>
    <col min="6980" max="6980" width="10.125" style="13" customWidth="1"/>
    <col min="6981" max="6981" width="9.25" style="13" customWidth="1"/>
    <col min="6982" max="7178" width="9.125" style="13"/>
    <col min="7179" max="7179" width="5.125" style="13" customWidth="1"/>
    <col min="7180" max="7180" width="24" style="13" customWidth="1"/>
    <col min="7181" max="7181" width="7.75" style="13" customWidth="1"/>
    <col min="7182" max="7182" width="9" style="13" customWidth="1"/>
    <col min="7183" max="7185" width="9.125" style="13" customWidth="1"/>
    <col min="7186" max="7186" width="10.125" style="13" customWidth="1"/>
    <col min="7187" max="7187" width="10.75" style="13" customWidth="1"/>
    <col min="7188" max="7188" width="10" style="13" customWidth="1"/>
    <col min="7189" max="7189" width="9.25" style="13" customWidth="1"/>
    <col min="7190" max="7191" width="10.75" style="13" customWidth="1"/>
    <col min="7192" max="7192" width="9.25" style="13" customWidth="1"/>
    <col min="7193" max="7197" width="10.75" style="13" customWidth="1"/>
    <col min="7198" max="7198" width="10.25" style="13" customWidth="1"/>
    <col min="7199" max="7201" width="8.875" style="13" customWidth="1"/>
    <col min="7202" max="7203" width="10.125" style="13" customWidth="1"/>
    <col min="7204" max="7206" width="9.625" style="13" customWidth="1"/>
    <col min="7207" max="7207" width="10.125" style="13" customWidth="1"/>
    <col min="7208" max="7212" width="0" style="13" hidden="1" customWidth="1"/>
    <col min="7213" max="7213" width="10.125" style="13" customWidth="1"/>
    <col min="7214" max="7216" width="9.625" style="13" customWidth="1"/>
    <col min="7217" max="7217" width="10.125" style="13" customWidth="1"/>
    <col min="7218" max="7229" width="0" style="13" hidden="1" customWidth="1"/>
    <col min="7230" max="7230" width="10.125" style="13" customWidth="1"/>
    <col min="7231" max="7232" width="9.875" style="13" customWidth="1"/>
    <col min="7233" max="7233" width="12.625" style="13" customWidth="1"/>
    <col min="7234" max="7234" width="9.875" style="13" customWidth="1"/>
    <col min="7235" max="7235" width="12.625" style="13" customWidth="1"/>
    <col min="7236" max="7236" width="10.125" style="13" customWidth="1"/>
    <col min="7237" max="7237" width="9.25" style="13" customWidth="1"/>
    <col min="7238" max="7434" width="9.125" style="13"/>
    <col min="7435" max="7435" width="5.125" style="13" customWidth="1"/>
    <col min="7436" max="7436" width="24" style="13" customWidth="1"/>
    <col min="7437" max="7437" width="7.75" style="13" customWidth="1"/>
    <col min="7438" max="7438" width="9" style="13" customWidth="1"/>
    <col min="7439" max="7441" width="9.125" style="13" customWidth="1"/>
    <col min="7442" max="7442" width="10.125" style="13" customWidth="1"/>
    <col min="7443" max="7443" width="10.75" style="13" customWidth="1"/>
    <col min="7444" max="7444" width="10" style="13" customWidth="1"/>
    <col min="7445" max="7445" width="9.25" style="13" customWidth="1"/>
    <col min="7446" max="7447" width="10.75" style="13" customWidth="1"/>
    <col min="7448" max="7448" width="9.25" style="13" customWidth="1"/>
    <col min="7449" max="7453" width="10.75" style="13" customWidth="1"/>
    <col min="7454" max="7454" width="10.25" style="13" customWidth="1"/>
    <col min="7455" max="7457" width="8.875" style="13" customWidth="1"/>
    <col min="7458" max="7459" width="10.125" style="13" customWidth="1"/>
    <col min="7460" max="7462" width="9.625" style="13" customWidth="1"/>
    <col min="7463" max="7463" width="10.125" style="13" customWidth="1"/>
    <col min="7464" max="7468" width="0" style="13" hidden="1" customWidth="1"/>
    <col min="7469" max="7469" width="10.125" style="13" customWidth="1"/>
    <col min="7470" max="7472" width="9.625" style="13" customWidth="1"/>
    <col min="7473" max="7473" width="10.125" style="13" customWidth="1"/>
    <col min="7474" max="7485" width="0" style="13" hidden="1" customWidth="1"/>
    <col min="7486" max="7486" width="10.125" style="13" customWidth="1"/>
    <col min="7487" max="7488" width="9.875" style="13" customWidth="1"/>
    <col min="7489" max="7489" width="12.625" style="13" customWidth="1"/>
    <col min="7490" max="7490" width="9.875" style="13" customWidth="1"/>
    <col min="7491" max="7491" width="12.625" style="13" customWidth="1"/>
    <col min="7492" max="7492" width="10.125" style="13" customWidth="1"/>
    <col min="7493" max="7493" width="9.25" style="13" customWidth="1"/>
    <col min="7494" max="7690" width="9.125" style="13"/>
    <col min="7691" max="7691" width="5.125" style="13" customWidth="1"/>
    <col min="7692" max="7692" width="24" style="13" customWidth="1"/>
    <col min="7693" max="7693" width="7.75" style="13" customWidth="1"/>
    <col min="7694" max="7694" width="9" style="13" customWidth="1"/>
    <col min="7695" max="7697" width="9.125" style="13" customWidth="1"/>
    <col min="7698" max="7698" width="10.125" style="13" customWidth="1"/>
    <col min="7699" max="7699" width="10.75" style="13" customWidth="1"/>
    <col min="7700" max="7700" width="10" style="13" customWidth="1"/>
    <col min="7701" max="7701" width="9.25" style="13" customWidth="1"/>
    <col min="7702" max="7703" width="10.75" style="13" customWidth="1"/>
    <col min="7704" max="7704" width="9.25" style="13" customWidth="1"/>
    <col min="7705" max="7709" width="10.75" style="13" customWidth="1"/>
    <col min="7710" max="7710" width="10.25" style="13" customWidth="1"/>
    <col min="7711" max="7713" width="8.875" style="13" customWidth="1"/>
    <col min="7714" max="7715" width="10.125" style="13" customWidth="1"/>
    <col min="7716" max="7718" width="9.625" style="13" customWidth="1"/>
    <col min="7719" max="7719" width="10.125" style="13" customWidth="1"/>
    <col min="7720" max="7724" width="0" style="13" hidden="1" customWidth="1"/>
    <col min="7725" max="7725" width="10.125" style="13" customWidth="1"/>
    <col min="7726" max="7728" width="9.625" style="13" customWidth="1"/>
    <col min="7729" max="7729" width="10.125" style="13" customWidth="1"/>
    <col min="7730" max="7741" width="0" style="13" hidden="1" customWidth="1"/>
    <col min="7742" max="7742" width="10.125" style="13" customWidth="1"/>
    <col min="7743" max="7744" width="9.875" style="13" customWidth="1"/>
    <col min="7745" max="7745" width="12.625" style="13" customWidth="1"/>
    <col min="7746" max="7746" width="9.875" style="13" customWidth="1"/>
    <col min="7747" max="7747" width="12.625" style="13" customWidth="1"/>
    <col min="7748" max="7748" width="10.125" style="13" customWidth="1"/>
    <col min="7749" max="7749" width="9.25" style="13" customWidth="1"/>
    <col min="7750" max="7946" width="9.125" style="13"/>
    <col min="7947" max="7947" width="5.125" style="13" customWidth="1"/>
    <col min="7948" max="7948" width="24" style="13" customWidth="1"/>
    <col min="7949" max="7949" width="7.75" style="13" customWidth="1"/>
    <col min="7950" max="7950" width="9" style="13" customWidth="1"/>
    <col min="7951" max="7953" width="9.125" style="13" customWidth="1"/>
    <col min="7954" max="7954" width="10.125" style="13" customWidth="1"/>
    <col min="7955" max="7955" width="10.75" style="13" customWidth="1"/>
    <col min="7956" max="7956" width="10" style="13" customWidth="1"/>
    <col min="7957" max="7957" width="9.25" style="13" customWidth="1"/>
    <col min="7958" max="7959" width="10.75" style="13" customWidth="1"/>
    <col min="7960" max="7960" width="9.25" style="13" customWidth="1"/>
    <col min="7961" max="7965" width="10.75" style="13" customWidth="1"/>
    <col min="7966" max="7966" width="10.25" style="13" customWidth="1"/>
    <col min="7967" max="7969" width="8.875" style="13" customWidth="1"/>
    <col min="7970" max="7971" width="10.125" style="13" customWidth="1"/>
    <col min="7972" max="7974" width="9.625" style="13" customWidth="1"/>
    <col min="7975" max="7975" width="10.125" style="13" customWidth="1"/>
    <col min="7976" max="7980" width="0" style="13" hidden="1" customWidth="1"/>
    <col min="7981" max="7981" width="10.125" style="13" customWidth="1"/>
    <col min="7982" max="7984" width="9.625" style="13" customWidth="1"/>
    <col min="7985" max="7985" width="10.125" style="13" customWidth="1"/>
    <col min="7986" max="7997" width="0" style="13" hidden="1" customWidth="1"/>
    <col min="7998" max="7998" width="10.125" style="13" customWidth="1"/>
    <col min="7999" max="8000" width="9.875" style="13" customWidth="1"/>
    <col min="8001" max="8001" width="12.625" style="13" customWidth="1"/>
    <col min="8002" max="8002" width="9.875" style="13" customWidth="1"/>
    <col min="8003" max="8003" width="12.625" style="13" customWidth="1"/>
    <col min="8004" max="8004" width="10.125" style="13" customWidth="1"/>
    <col min="8005" max="8005" width="9.25" style="13" customWidth="1"/>
    <col min="8006" max="8202" width="9.125" style="13"/>
    <col min="8203" max="8203" width="5.125" style="13" customWidth="1"/>
    <col min="8204" max="8204" width="24" style="13" customWidth="1"/>
    <col min="8205" max="8205" width="7.75" style="13" customWidth="1"/>
    <col min="8206" max="8206" width="9" style="13" customWidth="1"/>
    <col min="8207" max="8209" width="9.125" style="13" customWidth="1"/>
    <col min="8210" max="8210" width="10.125" style="13" customWidth="1"/>
    <col min="8211" max="8211" width="10.75" style="13" customWidth="1"/>
    <col min="8212" max="8212" width="10" style="13" customWidth="1"/>
    <col min="8213" max="8213" width="9.25" style="13" customWidth="1"/>
    <col min="8214" max="8215" width="10.75" style="13" customWidth="1"/>
    <col min="8216" max="8216" width="9.25" style="13" customWidth="1"/>
    <col min="8217" max="8221" width="10.75" style="13" customWidth="1"/>
    <col min="8222" max="8222" width="10.25" style="13" customWidth="1"/>
    <col min="8223" max="8225" width="8.875" style="13" customWidth="1"/>
    <col min="8226" max="8227" width="10.125" style="13" customWidth="1"/>
    <col min="8228" max="8230" width="9.625" style="13" customWidth="1"/>
    <col min="8231" max="8231" width="10.125" style="13" customWidth="1"/>
    <col min="8232" max="8236" width="0" style="13" hidden="1" customWidth="1"/>
    <col min="8237" max="8237" width="10.125" style="13" customWidth="1"/>
    <col min="8238" max="8240" width="9.625" style="13" customWidth="1"/>
    <col min="8241" max="8241" width="10.125" style="13" customWidth="1"/>
    <col min="8242" max="8253" width="0" style="13" hidden="1" customWidth="1"/>
    <col min="8254" max="8254" width="10.125" style="13" customWidth="1"/>
    <col min="8255" max="8256" width="9.875" style="13" customWidth="1"/>
    <col min="8257" max="8257" width="12.625" style="13" customWidth="1"/>
    <col min="8258" max="8258" width="9.875" style="13" customWidth="1"/>
    <col min="8259" max="8259" width="12.625" style="13" customWidth="1"/>
    <col min="8260" max="8260" width="10.125" style="13" customWidth="1"/>
    <col min="8261" max="8261" width="9.25" style="13" customWidth="1"/>
    <col min="8262" max="8458" width="9.125" style="13"/>
    <col min="8459" max="8459" width="5.125" style="13" customWidth="1"/>
    <col min="8460" max="8460" width="24" style="13" customWidth="1"/>
    <col min="8461" max="8461" width="7.75" style="13" customWidth="1"/>
    <col min="8462" max="8462" width="9" style="13" customWidth="1"/>
    <col min="8463" max="8465" width="9.125" style="13" customWidth="1"/>
    <col min="8466" max="8466" width="10.125" style="13" customWidth="1"/>
    <col min="8467" max="8467" width="10.75" style="13" customWidth="1"/>
    <col min="8468" max="8468" width="10" style="13" customWidth="1"/>
    <col min="8469" max="8469" width="9.25" style="13" customWidth="1"/>
    <col min="8470" max="8471" width="10.75" style="13" customWidth="1"/>
    <col min="8472" max="8472" width="9.25" style="13" customWidth="1"/>
    <col min="8473" max="8477" width="10.75" style="13" customWidth="1"/>
    <col min="8478" max="8478" width="10.25" style="13" customWidth="1"/>
    <col min="8479" max="8481" width="8.875" style="13" customWidth="1"/>
    <col min="8482" max="8483" width="10.125" style="13" customWidth="1"/>
    <col min="8484" max="8486" width="9.625" style="13" customWidth="1"/>
    <col min="8487" max="8487" width="10.125" style="13" customWidth="1"/>
    <col min="8488" max="8492" width="0" style="13" hidden="1" customWidth="1"/>
    <col min="8493" max="8493" width="10.125" style="13" customWidth="1"/>
    <col min="8494" max="8496" width="9.625" style="13" customWidth="1"/>
    <col min="8497" max="8497" width="10.125" style="13" customWidth="1"/>
    <col min="8498" max="8509" width="0" style="13" hidden="1" customWidth="1"/>
    <col min="8510" max="8510" width="10.125" style="13" customWidth="1"/>
    <col min="8511" max="8512" width="9.875" style="13" customWidth="1"/>
    <col min="8513" max="8513" width="12.625" style="13" customWidth="1"/>
    <col min="8514" max="8514" width="9.875" style="13" customWidth="1"/>
    <col min="8515" max="8515" width="12.625" style="13" customWidth="1"/>
    <col min="8516" max="8516" width="10.125" style="13" customWidth="1"/>
    <col min="8517" max="8517" width="9.25" style="13" customWidth="1"/>
    <col min="8518" max="8714" width="9.125" style="13"/>
    <col min="8715" max="8715" width="5.125" style="13" customWidth="1"/>
    <col min="8716" max="8716" width="24" style="13" customWidth="1"/>
    <col min="8717" max="8717" width="7.75" style="13" customWidth="1"/>
    <col min="8718" max="8718" width="9" style="13" customWidth="1"/>
    <col min="8719" max="8721" width="9.125" style="13" customWidth="1"/>
    <col min="8722" max="8722" width="10.125" style="13" customWidth="1"/>
    <col min="8723" max="8723" width="10.75" style="13" customWidth="1"/>
    <col min="8724" max="8724" width="10" style="13" customWidth="1"/>
    <col min="8725" max="8725" width="9.25" style="13" customWidth="1"/>
    <col min="8726" max="8727" width="10.75" style="13" customWidth="1"/>
    <col min="8728" max="8728" width="9.25" style="13" customWidth="1"/>
    <col min="8729" max="8733" width="10.75" style="13" customWidth="1"/>
    <col min="8734" max="8734" width="10.25" style="13" customWidth="1"/>
    <col min="8735" max="8737" width="8.875" style="13" customWidth="1"/>
    <col min="8738" max="8739" width="10.125" style="13" customWidth="1"/>
    <col min="8740" max="8742" width="9.625" style="13" customWidth="1"/>
    <col min="8743" max="8743" width="10.125" style="13" customWidth="1"/>
    <col min="8744" max="8748" width="0" style="13" hidden="1" customWidth="1"/>
    <col min="8749" max="8749" width="10.125" style="13" customWidth="1"/>
    <col min="8750" max="8752" width="9.625" style="13" customWidth="1"/>
    <col min="8753" max="8753" width="10.125" style="13" customWidth="1"/>
    <col min="8754" max="8765" width="0" style="13" hidden="1" customWidth="1"/>
    <col min="8766" max="8766" width="10.125" style="13" customWidth="1"/>
    <col min="8767" max="8768" width="9.875" style="13" customWidth="1"/>
    <col min="8769" max="8769" width="12.625" style="13" customWidth="1"/>
    <col min="8770" max="8770" width="9.875" style="13" customWidth="1"/>
    <col min="8771" max="8771" width="12.625" style="13" customWidth="1"/>
    <col min="8772" max="8772" width="10.125" style="13" customWidth="1"/>
    <col min="8773" max="8773" width="9.25" style="13" customWidth="1"/>
    <col min="8774" max="8970" width="9.125" style="13"/>
    <col min="8971" max="8971" width="5.125" style="13" customWidth="1"/>
    <col min="8972" max="8972" width="24" style="13" customWidth="1"/>
    <col min="8973" max="8973" width="7.75" style="13" customWidth="1"/>
    <col min="8974" max="8974" width="9" style="13" customWidth="1"/>
    <col min="8975" max="8977" width="9.125" style="13" customWidth="1"/>
    <col min="8978" max="8978" width="10.125" style="13" customWidth="1"/>
    <col min="8979" max="8979" width="10.75" style="13" customWidth="1"/>
    <col min="8980" max="8980" width="10" style="13" customWidth="1"/>
    <col min="8981" max="8981" width="9.25" style="13" customWidth="1"/>
    <col min="8982" max="8983" width="10.75" style="13" customWidth="1"/>
    <col min="8984" max="8984" width="9.25" style="13" customWidth="1"/>
    <col min="8985" max="8989" width="10.75" style="13" customWidth="1"/>
    <col min="8990" max="8990" width="10.25" style="13" customWidth="1"/>
    <col min="8991" max="8993" width="8.875" style="13" customWidth="1"/>
    <col min="8994" max="8995" width="10.125" style="13" customWidth="1"/>
    <col min="8996" max="8998" width="9.625" style="13" customWidth="1"/>
    <col min="8999" max="8999" width="10.125" style="13" customWidth="1"/>
    <col min="9000" max="9004" width="0" style="13" hidden="1" customWidth="1"/>
    <col min="9005" max="9005" width="10.125" style="13" customWidth="1"/>
    <col min="9006" max="9008" width="9.625" style="13" customWidth="1"/>
    <col min="9009" max="9009" width="10.125" style="13" customWidth="1"/>
    <col min="9010" max="9021" width="0" style="13" hidden="1" customWidth="1"/>
    <col min="9022" max="9022" width="10.125" style="13" customWidth="1"/>
    <col min="9023" max="9024" width="9.875" style="13" customWidth="1"/>
    <col min="9025" max="9025" width="12.625" style="13" customWidth="1"/>
    <col min="9026" max="9026" width="9.875" style="13" customWidth="1"/>
    <col min="9027" max="9027" width="12.625" style="13" customWidth="1"/>
    <col min="9028" max="9028" width="10.125" style="13" customWidth="1"/>
    <col min="9029" max="9029" width="9.25" style="13" customWidth="1"/>
    <col min="9030" max="9226" width="9.125" style="13"/>
    <col min="9227" max="9227" width="5.125" style="13" customWidth="1"/>
    <col min="9228" max="9228" width="24" style="13" customWidth="1"/>
    <col min="9229" max="9229" width="7.75" style="13" customWidth="1"/>
    <col min="9230" max="9230" width="9" style="13" customWidth="1"/>
    <col min="9231" max="9233" width="9.125" style="13" customWidth="1"/>
    <col min="9234" max="9234" width="10.125" style="13" customWidth="1"/>
    <col min="9235" max="9235" width="10.75" style="13" customWidth="1"/>
    <col min="9236" max="9236" width="10" style="13" customWidth="1"/>
    <col min="9237" max="9237" width="9.25" style="13" customWidth="1"/>
    <col min="9238" max="9239" width="10.75" style="13" customWidth="1"/>
    <col min="9240" max="9240" width="9.25" style="13" customWidth="1"/>
    <col min="9241" max="9245" width="10.75" style="13" customWidth="1"/>
    <col min="9246" max="9246" width="10.25" style="13" customWidth="1"/>
    <col min="9247" max="9249" width="8.875" style="13" customWidth="1"/>
    <col min="9250" max="9251" width="10.125" style="13" customWidth="1"/>
    <col min="9252" max="9254" width="9.625" style="13" customWidth="1"/>
    <col min="9255" max="9255" width="10.125" style="13" customWidth="1"/>
    <col min="9256" max="9260" width="0" style="13" hidden="1" customWidth="1"/>
    <col min="9261" max="9261" width="10.125" style="13" customWidth="1"/>
    <col min="9262" max="9264" width="9.625" style="13" customWidth="1"/>
    <col min="9265" max="9265" width="10.125" style="13" customWidth="1"/>
    <col min="9266" max="9277" width="0" style="13" hidden="1" customWidth="1"/>
    <col min="9278" max="9278" width="10.125" style="13" customWidth="1"/>
    <col min="9279" max="9280" width="9.875" style="13" customWidth="1"/>
    <col min="9281" max="9281" width="12.625" style="13" customWidth="1"/>
    <col min="9282" max="9282" width="9.875" style="13" customWidth="1"/>
    <col min="9283" max="9283" width="12.625" style="13" customWidth="1"/>
    <col min="9284" max="9284" width="10.125" style="13" customWidth="1"/>
    <col min="9285" max="9285" width="9.25" style="13" customWidth="1"/>
    <col min="9286" max="9482" width="9.125" style="13"/>
    <col min="9483" max="9483" width="5.125" style="13" customWidth="1"/>
    <col min="9484" max="9484" width="24" style="13" customWidth="1"/>
    <col min="9485" max="9485" width="7.75" style="13" customWidth="1"/>
    <col min="9486" max="9486" width="9" style="13" customWidth="1"/>
    <col min="9487" max="9489" width="9.125" style="13" customWidth="1"/>
    <col min="9490" max="9490" width="10.125" style="13" customWidth="1"/>
    <col min="9491" max="9491" width="10.75" style="13" customWidth="1"/>
    <col min="9492" max="9492" width="10" style="13" customWidth="1"/>
    <col min="9493" max="9493" width="9.25" style="13" customWidth="1"/>
    <col min="9494" max="9495" width="10.75" style="13" customWidth="1"/>
    <col min="9496" max="9496" width="9.25" style="13" customWidth="1"/>
    <col min="9497" max="9501" width="10.75" style="13" customWidth="1"/>
    <col min="9502" max="9502" width="10.25" style="13" customWidth="1"/>
    <col min="9503" max="9505" width="8.875" style="13" customWidth="1"/>
    <col min="9506" max="9507" width="10.125" style="13" customWidth="1"/>
    <col min="9508" max="9510" width="9.625" style="13" customWidth="1"/>
    <col min="9511" max="9511" width="10.125" style="13" customWidth="1"/>
    <col min="9512" max="9516" width="0" style="13" hidden="1" customWidth="1"/>
    <col min="9517" max="9517" width="10.125" style="13" customWidth="1"/>
    <col min="9518" max="9520" width="9.625" style="13" customWidth="1"/>
    <col min="9521" max="9521" width="10.125" style="13" customWidth="1"/>
    <col min="9522" max="9533" width="0" style="13" hidden="1" customWidth="1"/>
    <col min="9534" max="9534" width="10.125" style="13" customWidth="1"/>
    <col min="9535" max="9536" width="9.875" style="13" customWidth="1"/>
    <col min="9537" max="9537" width="12.625" style="13" customWidth="1"/>
    <col min="9538" max="9538" width="9.875" style="13" customWidth="1"/>
    <col min="9539" max="9539" width="12.625" style="13" customWidth="1"/>
    <col min="9540" max="9540" width="10.125" style="13" customWidth="1"/>
    <col min="9541" max="9541" width="9.25" style="13" customWidth="1"/>
    <col min="9542" max="9738" width="9.125" style="13"/>
    <col min="9739" max="9739" width="5.125" style="13" customWidth="1"/>
    <col min="9740" max="9740" width="24" style="13" customWidth="1"/>
    <col min="9741" max="9741" width="7.75" style="13" customWidth="1"/>
    <col min="9742" max="9742" width="9" style="13" customWidth="1"/>
    <col min="9743" max="9745" width="9.125" style="13" customWidth="1"/>
    <col min="9746" max="9746" width="10.125" style="13" customWidth="1"/>
    <col min="9747" max="9747" width="10.75" style="13" customWidth="1"/>
    <col min="9748" max="9748" width="10" style="13" customWidth="1"/>
    <col min="9749" max="9749" width="9.25" style="13" customWidth="1"/>
    <col min="9750" max="9751" width="10.75" style="13" customWidth="1"/>
    <col min="9752" max="9752" width="9.25" style="13" customWidth="1"/>
    <col min="9753" max="9757" width="10.75" style="13" customWidth="1"/>
    <col min="9758" max="9758" width="10.25" style="13" customWidth="1"/>
    <col min="9759" max="9761" width="8.875" style="13" customWidth="1"/>
    <col min="9762" max="9763" width="10.125" style="13" customWidth="1"/>
    <col min="9764" max="9766" width="9.625" style="13" customWidth="1"/>
    <col min="9767" max="9767" width="10.125" style="13" customWidth="1"/>
    <col min="9768" max="9772" width="0" style="13" hidden="1" customWidth="1"/>
    <col min="9773" max="9773" width="10.125" style="13" customWidth="1"/>
    <col min="9774" max="9776" width="9.625" style="13" customWidth="1"/>
    <col min="9777" max="9777" width="10.125" style="13" customWidth="1"/>
    <col min="9778" max="9789" width="0" style="13" hidden="1" customWidth="1"/>
    <col min="9790" max="9790" width="10.125" style="13" customWidth="1"/>
    <col min="9791" max="9792" width="9.875" style="13" customWidth="1"/>
    <col min="9793" max="9793" width="12.625" style="13" customWidth="1"/>
    <col min="9794" max="9794" width="9.875" style="13" customWidth="1"/>
    <col min="9795" max="9795" width="12.625" style="13" customWidth="1"/>
    <col min="9796" max="9796" width="10.125" style="13" customWidth="1"/>
    <col min="9797" max="9797" width="9.25" style="13" customWidth="1"/>
    <col min="9798" max="9994" width="9.125" style="13"/>
    <col min="9995" max="9995" width="5.125" style="13" customWidth="1"/>
    <col min="9996" max="9996" width="24" style="13" customWidth="1"/>
    <col min="9997" max="9997" width="7.75" style="13" customWidth="1"/>
    <col min="9998" max="9998" width="9" style="13" customWidth="1"/>
    <col min="9999" max="10001" width="9.125" style="13" customWidth="1"/>
    <col min="10002" max="10002" width="10.125" style="13" customWidth="1"/>
    <col min="10003" max="10003" width="10.75" style="13" customWidth="1"/>
    <col min="10004" max="10004" width="10" style="13" customWidth="1"/>
    <col min="10005" max="10005" width="9.25" style="13" customWidth="1"/>
    <col min="10006" max="10007" width="10.75" style="13" customWidth="1"/>
    <col min="10008" max="10008" width="9.25" style="13" customWidth="1"/>
    <col min="10009" max="10013" width="10.75" style="13" customWidth="1"/>
    <col min="10014" max="10014" width="10.25" style="13" customWidth="1"/>
    <col min="10015" max="10017" width="8.875" style="13" customWidth="1"/>
    <col min="10018" max="10019" width="10.125" style="13" customWidth="1"/>
    <col min="10020" max="10022" width="9.625" style="13" customWidth="1"/>
    <col min="10023" max="10023" width="10.125" style="13" customWidth="1"/>
    <col min="10024" max="10028" width="0" style="13" hidden="1" customWidth="1"/>
    <col min="10029" max="10029" width="10.125" style="13" customWidth="1"/>
    <col min="10030" max="10032" width="9.625" style="13" customWidth="1"/>
    <col min="10033" max="10033" width="10.125" style="13" customWidth="1"/>
    <col min="10034" max="10045" width="0" style="13" hidden="1" customWidth="1"/>
    <col min="10046" max="10046" width="10.125" style="13" customWidth="1"/>
    <col min="10047" max="10048" width="9.875" style="13" customWidth="1"/>
    <col min="10049" max="10049" width="12.625" style="13" customWidth="1"/>
    <col min="10050" max="10050" width="9.875" style="13" customWidth="1"/>
    <col min="10051" max="10051" width="12.625" style="13" customWidth="1"/>
    <col min="10052" max="10052" width="10.125" style="13" customWidth="1"/>
    <col min="10053" max="10053" width="9.25" style="13" customWidth="1"/>
    <col min="10054" max="10250" width="9.125" style="13"/>
    <col min="10251" max="10251" width="5.125" style="13" customWidth="1"/>
    <col min="10252" max="10252" width="24" style="13" customWidth="1"/>
    <col min="10253" max="10253" width="7.75" style="13" customWidth="1"/>
    <col min="10254" max="10254" width="9" style="13" customWidth="1"/>
    <col min="10255" max="10257" width="9.125" style="13" customWidth="1"/>
    <col min="10258" max="10258" width="10.125" style="13" customWidth="1"/>
    <col min="10259" max="10259" width="10.75" style="13" customWidth="1"/>
    <col min="10260" max="10260" width="10" style="13" customWidth="1"/>
    <col min="10261" max="10261" width="9.25" style="13" customWidth="1"/>
    <col min="10262" max="10263" width="10.75" style="13" customWidth="1"/>
    <col min="10264" max="10264" width="9.25" style="13" customWidth="1"/>
    <col min="10265" max="10269" width="10.75" style="13" customWidth="1"/>
    <col min="10270" max="10270" width="10.25" style="13" customWidth="1"/>
    <col min="10271" max="10273" width="8.875" style="13" customWidth="1"/>
    <col min="10274" max="10275" width="10.125" style="13" customWidth="1"/>
    <col min="10276" max="10278" width="9.625" style="13" customWidth="1"/>
    <col min="10279" max="10279" width="10.125" style="13" customWidth="1"/>
    <col min="10280" max="10284" width="0" style="13" hidden="1" customWidth="1"/>
    <col min="10285" max="10285" width="10.125" style="13" customWidth="1"/>
    <col min="10286" max="10288" width="9.625" style="13" customWidth="1"/>
    <col min="10289" max="10289" width="10.125" style="13" customWidth="1"/>
    <col min="10290" max="10301" width="0" style="13" hidden="1" customWidth="1"/>
    <col min="10302" max="10302" width="10.125" style="13" customWidth="1"/>
    <col min="10303" max="10304" width="9.875" style="13" customWidth="1"/>
    <col min="10305" max="10305" width="12.625" style="13" customWidth="1"/>
    <col min="10306" max="10306" width="9.875" style="13" customWidth="1"/>
    <col min="10307" max="10307" width="12.625" style="13" customWidth="1"/>
    <col min="10308" max="10308" width="10.125" style="13" customWidth="1"/>
    <col min="10309" max="10309" width="9.25" style="13" customWidth="1"/>
    <col min="10310" max="10506" width="9.125" style="13"/>
    <col min="10507" max="10507" width="5.125" style="13" customWidth="1"/>
    <col min="10508" max="10508" width="24" style="13" customWidth="1"/>
    <col min="10509" max="10509" width="7.75" style="13" customWidth="1"/>
    <col min="10510" max="10510" width="9" style="13" customWidth="1"/>
    <col min="10511" max="10513" width="9.125" style="13" customWidth="1"/>
    <col min="10514" max="10514" width="10.125" style="13" customWidth="1"/>
    <col min="10515" max="10515" width="10.75" style="13" customWidth="1"/>
    <col min="10516" max="10516" width="10" style="13" customWidth="1"/>
    <col min="10517" max="10517" width="9.25" style="13" customWidth="1"/>
    <col min="10518" max="10519" width="10.75" style="13" customWidth="1"/>
    <col min="10520" max="10520" width="9.25" style="13" customWidth="1"/>
    <col min="10521" max="10525" width="10.75" style="13" customWidth="1"/>
    <col min="10526" max="10526" width="10.25" style="13" customWidth="1"/>
    <col min="10527" max="10529" width="8.875" style="13" customWidth="1"/>
    <col min="10530" max="10531" width="10.125" style="13" customWidth="1"/>
    <col min="10532" max="10534" width="9.625" style="13" customWidth="1"/>
    <col min="10535" max="10535" width="10.125" style="13" customWidth="1"/>
    <col min="10536" max="10540" width="0" style="13" hidden="1" customWidth="1"/>
    <col min="10541" max="10541" width="10.125" style="13" customWidth="1"/>
    <col min="10542" max="10544" width="9.625" style="13" customWidth="1"/>
    <col min="10545" max="10545" width="10.125" style="13" customWidth="1"/>
    <col min="10546" max="10557" width="0" style="13" hidden="1" customWidth="1"/>
    <col min="10558" max="10558" width="10.125" style="13" customWidth="1"/>
    <col min="10559" max="10560" width="9.875" style="13" customWidth="1"/>
    <col min="10561" max="10561" width="12.625" style="13" customWidth="1"/>
    <col min="10562" max="10562" width="9.875" style="13" customWidth="1"/>
    <col min="10563" max="10563" width="12.625" style="13" customWidth="1"/>
    <col min="10564" max="10564" width="10.125" style="13" customWidth="1"/>
    <col min="10565" max="10565" width="9.25" style="13" customWidth="1"/>
    <col min="10566" max="10762" width="9.125" style="13"/>
    <col min="10763" max="10763" width="5.125" style="13" customWidth="1"/>
    <col min="10764" max="10764" width="24" style="13" customWidth="1"/>
    <col min="10765" max="10765" width="7.75" style="13" customWidth="1"/>
    <col min="10766" max="10766" width="9" style="13" customWidth="1"/>
    <col min="10767" max="10769" width="9.125" style="13" customWidth="1"/>
    <col min="10770" max="10770" width="10.125" style="13" customWidth="1"/>
    <col min="10771" max="10771" width="10.75" style="13" customWidth="1"/>
    <col min="10772" max="10772" width="10" style="13" customWidth="1"/>
    <col min="10773" max="10773" width="9.25" style="13" customWidth="1"/>
    <col min="10774" max="10775" width="10.75" style="13" customWidth="1"/>
    <col min="10776" max="10776" width="9.25" style="13" customWidth="1"/>
    <col min="10777" max="10781" width="10.75" style="13" customWidth="1"/>
    <col min="10782" max="10782" width="10.25" style="13" customWidth="1"/>
    <col min="10783" max="10785" width="8.875" style="13" customWidth="1"/>
    <col min="10786" max="10787" width="10.125" style="13" customWidth="1"/>
    <col min="10788" max="10790" width="9.625" style="13" customWidth="1"/>
    <col min="10791" max="10791" width="10.125" style="13" customWidth="1"/>
    <col min="10792" max="10796" width="0" style="13" hidden="1" customWidth="1"/>
    <col min="10797" max="10797" width="10.125" style="13" customWidth="1"/>
    <col min="10798" max="10800" width="9.625" style="13" customWidth="1"/>
    <col min="10801" max="10801" width="10.125" style="13" customWidth="1"/>
    <col min="10802" max="10813" width="0" style="13" hidden="1" customWidth="1"/>
    <col min="10814" max="10814" width="10.125" style="13" customWidth="1"/>
    <col min="10815" max="10816" width="9.875" style="13" customWidth="1"/>
    <col min="10817" max="10817" width="12.625" style="13" customWidth="1"/>
    <col min="10818" max="10818" width="9.875" style="13" customWidth="1"/>
    <col min="10819" max="10819" width="12.625" style="13" customWidth="1"/>
    <col min="10820" max="10820" width="10.125" style="13" customWidth="1"/>
    <col min="10821" max="10821" width="9.25" style="13" customWidth="1"/>
    <col min="10822" max="11018" width="9.125" style="13"/>
    <col min="11019" max="11019" width="5.125" style="13" customWidth="1"/>
    <col min="11020" max="11020" width="24" style="13" customWidth="1"/>
    <col min="11021" max="11021" width="7.75" style="13" customWidth="1"/>
    <col min="11022" max="11022" width="9" style="13" customWidth="1"/>
    <col min="11023" max="11025" width="9.125" style="13" customWidth="1"/>
    <col min="11026" max="11026" width="10.125" style="13" customWidth="1"/>
    <col min="11027" max="11027" width="10.75" style="13" customWidth="1"/>
    <col min="11028" max="11028" width="10" style="13" customWidth="1"/>
    <col min="11029" max="11029" width="9.25" style="13" customWidth="1"/>
    <col min="11030" max="11031" width="10.75" style="13" customWidth="1"/>
    <col min="11032" max="11032" width="9.25" style="13" customWidth="1"/>
    <col min="11033" max="11037" width="10.75" style="13" customWidth="1"/>
    <col min="11038" max="11038" width="10.25" style="13" customWidth="1"/>
    <col min="11039" max="11041" width="8.875" style="13" customWidth="1"/>
    <col min="11042" max="11043" width="10.125" style="13" customWidth="1"/>
    <col min="11044" max="11046" width="9.625" style="13" customWidth="1"/>
    <col min="11047" max="11047" width="10.125" style="13" customWidth="1"/>
    <col min="11048" max="11052" width="0" style="13" hidden="1" customWidth="1"/>
    <col min="11053" max="11053" width="10.125" style="13" customWidth="1"/>
    <col min="11054" max="11056" width="9.625" style="13" customWidth="1"/>
    <col min="11057" max="11057" width="10.125" style="13" customWidth="1"/>
    <col min="11058" max="11069" width="0" style="13" hidden="1" customWidth="1"/>
    <col min="11070" max="11070" width="10.125" style="13" customWidth="1"/>
    <col min="11071" max="11072" width="9.875" style="13" customWidth="1"/>
    <col min="11073" max="11073" width="12.625" style="13" customWidth="1"/>
    <col min="11074" max="11074" width="9.875" style="13" customWidth="1"/>
    <col min="11075" max="11075" width="12.625" style="13" customWidth="1"/>
    <col min="11076" max="11076" width="10.125" style="13" customWidth="1"/>
    <col min="11077" max="11077" width="9.25" style="13" customWidth="1"/>
    <col min="11078" max="11274" width="9.125" style="13"/>
    <col min="11275" max="11275" width="5.125" style="13" customWidth="1"/>
    <col min="11276" max="11276" width="24" style="13" customWidth="1"/>
    <col min="11277" max="11277" width="7.75" style="13" customWidth="1"/>
    <col min="11278" max="11278" width="9" style="13" customWidth="1"/>
    <col min="11279" max="11281" width="9.125" style="13" customWidth="1"/>
    <col min="11282" max="11282" width="10.125" style="13" customWidth="1"/>
    <col min="11283" max="11283" width="10.75" style="13" customWidth="1"/>
    <col min="11284" max="11284" width="10" style="13" customWidth="1"/>
    <col min="11285" max="11285" width="9.25" style="13" customWidth="1"/>
    <col min="11286" max="11287" width="10.75" style="13" customWidth="1"/>
    <col min="11288" max="11288" width="9.25" style="13" customWidth="1"/>
    <col min="11289" max="11293" width="10.75" style="13" customWidth="1"/>
    <col min="11294" max="11294" width="10.25" style="13" customWidth="1"/>
    <col min="11295" max="11297" width="8.875" style="13" customWidth="1"/>
    <col min="11298" max="11299" width="10.125" style="13" customWidth="1"/>
    <col min="11300" max="11302" width="9.625" style="13" customWidth="1"/>
    <col min="11303" max="11303" width="10.125" style="13" customWidth="1"/>
    <col min="11304" max="11308" width="0" style="13" hidden="1" customWidth="1"/>
    <col min="11309" max="11309" width="10.125" style="13" customWidth="1"/>
    <col min="11310" max="11312" width="9.625" style="13" customWidth="1"/>
    <col min="11313" max="11313" width="10.125" style="13" customWidth="1"/>
    <col min="11314" max="11325" width="0" style="13" hidden="1" customWidth="1"/>
    <col min="11326" max="11326" width="10.125" style="13" customWidth="1"/>
    <col min="11327" max="11328" width="9.875" style="13" customWidth="1"/>
    <col min="11329" max="11329" width="12.625" style="13" customWidth="1"/>
    <col min="11330" max="11330" width="9.875" style="13" customWidth="1"/>
    <col min="11331" max="11331" width="12.625" style="13" customWidth="1"/>
    <col min="11332" max="11332" width="10.125" style="13" customWidth="1"/>
    <col min="11333" max="11333" width="9.25" style="13" customWidth="1"/>
    <col min="11334" max="11530" width="9.125" style="13"/>
    <col min="11531" max="11531" width="5.125" style="13" customWidth="1"/>
    <col min="11532" max="11532" width="24" style="13" customWidth="1"/>
    <col min="11533" max="11533" width="7.75" style="13" customWidth="1"/>
    <col min="11534" max="11534" width="9" style="13" customWidth="1"/>
    <col min="11535" max="11537" width="9.125" style="13" customWidth="1"/>
    <col min="11538" max="11538" width="10.125" style="13" customWidth="1"/>
    <col min="11539" max="11539" width="10.75" style="13" customWidth="1"/>
    <col min="11540" max="11540" width="10" style="13" customWidth="1"/>
    <col min="11541" max="11541" width="9.25" style="13" customWidth="1"/>
    <col min="11542" max="11543" width="10.75" style="13" customWidth="1"/>
    <col min="11544" max="11544" width="9.25" style="13" customWidth="1"/>
    <col min="11545" max="11549" width="10.75" style="13" customWidth="1"/>
    <col min="11550" max="11550" width="10.25" style="13" customWidth="1"/>
    <col min="11551" max="11553" width="8.875" style="13" customWidth="1"/>
    <col min="11554" max="11555" width="10.125" style="13" customWidth="1"/>
    <col min="11556" max="11558" width="9.625" style="13" customWidth="1"/>
    <col min="11559" max="11559" width="10.125" style="13" customWidth="1"/>
    <col min="11560" max="11564" width="0" style="13" hidden="1" customWidth="1"/>
    <col min="11565" max="11565" width="10.125" style="13" customWidth="1"/>
    <col min="11566" max="11568" width="9.625" style="13" customWidth="1"/>
    <col min="11569" max="11569" width="10.125" style="13" customWidth="1"/>
    <col min="11570" max="11581" width="0" style="13" hidden="1" customWidth="1"/>
    <col min="11582" max="11582" width="10.125" style="13" customWidth="1"/>
    <col min="11583" max="11584" width="9.875" style="13" customWidth="1"/>
    <col min="11585" max="11585" width="12.625" style="13" customWidth="1"/>
    <col min="11586" max="11586" width="9.875" style="13" customWidth="1"/>
    <col min="11587" max="11587" width="12.625" style="13" customWidth="1"/>
    <col min="11588" max="11588" width="10.125" style="13" customWidth="1"/>
    <col min="11589" max="11589" width="9.25" style="13" customWidth="1"/>
    <col min="11590" max="11786" width="9.125" style="13"/>
    <col min="11787" max="11787" width="5.125" style="13" customWidth="1"/>
    <col min="11788" max="11788" width="24" style="13" customWidth="1"/>
    <col min="11789" max="11789" width="7.75" style="13" customWidth="1"/>
    <col min="11790" max="11790" width="9" style="13" customWidth="1"/>
    <col min="11791" max="11793" width="9.125" style="13" customWidth="1"/>
    <col min="11794" max="11794" width="10.125" style="13" customWidth="1"/>
    <col min="11795" max="11795" width="10.75" style="13" customWidth="1"/>
    <col min="11796" max="11796" width="10" style="13" customWidth="1"/>
    <col min="11797" max="11797" width="9.25" style="13" customWidth="1"/>
    <col min="11798" max="11799" width="10.75" style="13" customWidth="1"/>
    <col min="11800" max="11800" width="9.25" style="13" customWidth="1"/>
    <col min="11801" max="11805" width="10.75" style="13" customWidth="1"/>
    <col min="11806" max="11806" width="10.25" style="13" customWidth="1"/>
    <col min="11807" max="11809" width="8.875" style="13" customWidth="1"/>
    <col min="11810" max="11811" width="10.125" style="13" customWidth="1"/>
    <col min="11812" max="11814" width="9.625" style="13" customWidth="1"/>
    <col min="11815" max="11815" width="10.125" style="13" customWidth="1"/>
    <col min="11816" max="11820" width="0" style="13" hidden="1" customWidth="1"/>
    <col min="11821" max="11821" width="10.125" style="13" customWidth="1"/>
    <col min="11822" max="11824" width="9.625" style="13" customWidth="1"/>
    <col min="11825" max="11825" width="10.125" style="13" customWidth="1"/>
    <col min="11826" max="11837" width="0" style="13" hidden="1" customWidth="1"/>
    <col min="11838" max="11838" width="10.125" style="13" customWidth="1"/>
    <col min="11839" max="11840" width="9.875" style="13" customWidth="1"/>
    <col min="11841" max="11841" width="12.625" style="13" customWidth="1"/>
    <col min="11842" max="11842" width="9.875" style="13" customWidth="1"/>
    <col min="11843" max="11843" width="12.625" style="13" customWidth="1"/>
    <col min="11844" max="11844" width="10.125" style="13" customWidth="1"/>
    <col min="11845" max="11845" width="9.25" style="13" customWidth="1"/>
    <col min="11846" max="12042" width="9.125" style="13"/>
    <col min="12043" max="12043" width="5.125" style="13" customWidth="1"/>
    <col min="12044" max="12044" width="24" style="13" customWidth="1"/>
    <col min="12045" max="12045" width="7.75" style="13" customWidth="1"/>
    <col min="12046" max="12046" width="9" style="13" customWidth="1"/>
    <col min="12047" max="12049" width="9.125" style="13" customWidth="1"/>
    <col min="12050" max="12050" width="10.125" style="13" customWidth="1"/>
    <col min="12051" max="12051" width="10.75" style="13" customWidth="1"/>
    <col min="12052" max="12052" width="10" style="13" customWidth="1"/>
    <col min="12053" max="12053" width="9.25" style="13" customWidth="1"/>
    <col min="12054" max="12055" width="10.75" style="13" customWidth="1"/>
    <col min="12056" max="12056" width="9.25" style="13" customWidth="1"/>
    <col min="12057" max="12061" width="10.75" style="13" customWidth="1"/>
    <col min="12062" max="12062" width="10.25" style="13" customWidth="1"/>
    <col min="12063" max="12065" width="8.875" style="13" customWidth="1"/>
    <col min="12066" max="12067" width="10.125" style="13" customWidth="1"/>
    <col min="12068" max="12070" width="9.625" style="13" customWidth="1"/>
    <col min="12071" max="12071" width="10.125" style="13" customWidth="1"/>
    <col min="12072" max="12076" width="0" style="13" hidden="1" customWidth="1"/>
    <col min="12077" max="12077" width="10.125" style="13" customWidth="1"/>
    <col min="12078" max="12080" width="9.625" style="13" customWidth="1"/>
    <col min="12081" max="12081" width="10.125" style="13" customWidth="1"/>
    <col min="12082" max="12093" width="0" style="13" hidden="1" customWidth="1"/>
    <col min="12094" max="12094" width="10.125" style="13" customWidth="1"/>
    <col min="12095" max="12096" width="9.875" style="13" customWidth="1"/>
    <col min="12097" max="12097" width="12.625" style="13" customWidth="1"/>
    <col min="12098" max="12098" width="9.875" style="13" customWidth="1"/>
    <col min="12099" max="12099" width="12.625" style="13" customWidth="1"/>
    <col min="12100" max="12100" width="10.125" style="13" customWidth="1"/>
    <col min="12101" max="12101" width="9.25" style="13" customWidth="1"/>
    <col min="12102" max="12298" width="9.125" style="13"/>
    <col min="12299" max="12299" width="5.125" style="13" customWidth="1"/>
    <col min="12300" max="12300" width="24" style="13" customWidth="1"/>
    <col min="12301" max="12301" width="7.75" style="13" customWidth="1"/>
    <col min="12302" max="12302" width="9" style="13" customWidth="1"/>
    <col min="12303" max="12305" width="9.125" style="13" customWidth="1"/>
    <col min="12306" max="12306" width="10.125" style="13" customWidth="1"/>
    <col min="12307" max="12307" width="10.75" style="13" customWidth="1"/>
    <col min="12308" max="12308" width="10" style="13" customWidth="1"/>
    <col min="12309" max="12309" width="9.25" style="13" customWidth="1"/>
    <col min="12310" max="12311" width="10.75" style="13" customWidth="1"/>
    <col min="12312" max="12312" width="9.25" style="13" customWidth="1"/>
    <col min="12313" max="12317" width="10.75" style="13" customWidth="1"/>
    <col min="12318" max="12318" width="10.25" style="13" customWidth="1"/>
    <col min="12319" max="12321" width="8.875" style="13" customWidth="1"/>
    <col min="12322" max="12323" width="10.125" style="13" customWidth="1"/>
    <col min="12324" max="12326" width="9.625" style="13" customWidth="1"/>
    <col min="12327" max="12327" width="10.125" style="13" customWidth="1"/>
    <col min="12328" max="12332" width="0" style="13" hidden="1" customWidth="1"/>
    <col min="12333" max="12333" width="10.125" style="13" customWidth="1"/>
    <col min="12334" max="12336" width="9.625" style="13" customWidth="1"/>
    <col min="12337" max="12337" width="10.125" style="13" customWidth="1"/>
    <col min="12338" max="12349" width="0" style="13" hidden="1" customWidth="1"/>
    <col min="12350" max="12350" width="10.125" style="13" customWidth="1"/>
    <col min="12351" max="12352" width="9.875" style="13" customWidth="1"/>
    <col min="12353" max="12353" width="12.625" style="13" customWidth="1"/>
    <col min="12354" max="12354" width="9.875" style="13" customWidth="1"/>
    <col min="12355" max="12355" width="12.625" style="13" customWidth="1"/>
    <col min="12356" max="12356" width="10.125" style="13" customWidth="1"/>
    <col min="12357" max="12357" width="9.25" style="13" customWidth="1"/>
    <col min="12358" max="12554" width="9.125" style="13"/>
    <col min="12555" max="12555" width="5.125" style="13" customWidth="1"/>
    <col min="12556" max="12556" width="24" style="13" customWidth="1"/>
    <col min="12557" max="12557" width="7.75" style="13" customWidth="1"/>
    <col min="12558" max="12558" width="9" style="13" customWidth="1"/>
    <col min="12559" max="12561" width="9.125" style="13" customWidth="1"/>
    <col min="12562" max="12562" width="10.125" style="13" customWidth="1"/>
    <col min="12563" max="12563" width="10.75" style="13" customWidth="1"/>
    <col min="12564" max="12564" width="10" style="13" customWidth="1"/>
    <col min="12565" max="12565" width="9.25" style="13" customWidth="1"/>
    <col min="12566" max="12567" width="10.75" style="13" customWidth="1"/>
    <col min="12568" max="12568" width="9.25" style="13" customWidth="1"/>
    <col min="12569" max="12573" width="10.75" style="13" customWidth="1"/>
    <col min="12574" max="12574" width="10.25" style="13" customWidth="1"/>
    <col min="12575" max="12577" width="8.875" style="13" customWidth="1"/>
    <col min="12578" max="12579" width="10.125" style="13" customWidth="1"/>
    <col min="12580" max="12582" width="9.625" style="13" customWidth="1"/>
    <col min="12583" max="12583" width="10.125" style="13" customWidth="1"/>
    <col min="12584" max="12588" width="0" style="13" hidden="1" customWidth="1"/>
    <col min="12589" max="12589" width="10.125" style="13" customWidth="1"/>
    <col min="12590" max="12592" width="9.625" style="13" customWidth="1"/>
    <col min="12593" max="12593" width="10.125" style="13" customWidth="1"/>
    <col min="12594" max="12605" width="0" style="13" hidden="1" customWidth="1"/>
    <col min="12606" max="12606" width="10.125" style="13" customWidth="1"/>
    <col min="12607" max="12608" width="9.875" style="13" customWidth="1"/>
    <col min="12609" max="12609" width="12.625" style="13" customWidth="1"/>
    <col min="12610" max="12610" width="9.875" style="13" customWidth="1"/>
    <col min="12611" max="12611" width="12.625" style="13" customWidth="1"/>
    <col min="12612" max="12612" width="10.125" style="13" customWidth="1"/>
    <col min="12613" max="12613" width="9.25" style="13" customWidth="1"/>
    <col min="12614" max="12810" width="9.125" style="13"/>
    <col min="12811" max="12811" width="5.125" style="13" customWidth="1"/>
    <col min="12812" max="12812" width="24" style="13" customWidth="1"/>
    <col min="12813" max="12813" width="7.75" style="13" customWidth="1"/>
    <col min="12814" max="12814" width="9" style="13" customWidth="1"/>
    <col min="12815" max="12817" width="9.125" style="13" customWidth="1"/>
    <col min="12818" max="12818" width="10.125" style="13" customWidth="1"/>
    <col min="12819" max="12819" width="10.75" style="13" customWidth="1"/>
    <col min="12820" max="12820" width="10" style="13" customWidth="1"/>
    <col min="12821" max="12821" width="9.25" style="13" customWidth="1"/>
    <col min="12822" max="12823" width="10.75" style="13" customWidth="1"/>
    <col min="12824" max="12824" width="9.25" style="13" customWidth="1"/>
    <col min="12825" max="12829" width="10.75" style="13" customWidth="1"/>
    <col min="12830" max="12830" width="10.25" style="13" customWidth="1"/>
    <col min="12831" max="12833" width="8.875" style="13" customWidth="1"/>
    <col min="12834" max="12835" width="10.125" style="13" customWidth="1"/>
    <col min="12836" max="12838" width="9.625" style="13" customWidth="1"/>
    <col min="12839" max="12839" width="10.125" style="13" customWidth="1"/>
    <col min="12840" max="12844" width="0" style="13" hidden="1" customWidth="1"/>
    <col min="12845" max="12845" width="10.125" style="13" customWidth="1"/>
    <col min="12846" max="12848" width="9.625" style="13" customWidth="1"/>
    <col min="12849" max="12849" width="10.125" style="13" customWidth="1"/>
    <col min="12850" max="12861" width="0" style="13" hidden="1" customWidth="1"/>
    <col min="12862" max="12862" width="10.125" style="13" customWidth="1"/>
    <col min="12863" max="12864" width="9.875" style="13" customWidth="1"/>
    <col min="12865" max="12865" width="12.625" style="13" customWidth="1"/>
    <col min="12866" max="12866" width="9.875" style="13" customWidth="1"/>
    <col min="12867" max="12867" width="12.625" style="13" customWidth="1"/>
    <col min="12868" max="12868" width="10.125" style="13" customWidth="1"/>
    <col min="12869" max="12869" width="9.25" style="13" customWidth="1"/>
    <col min="12870" max="13066" width="9.125" style="13"/>
    <col min="13067" max="13067" width="5.125" style="13" customWidth="1"/>
    <col min="13068" max="13068" width="24" style="13" customWidth="1"/>
    <col min="13069" max="13069" width="7.75" style="13" customWidth="1"/>
    <col min="13070" max="13070" width="9" style="13" customWidth="1"/>
    <col min="13071" max="13073" width="9.125" style="13" customWidth="1"/>
    <col min="13074" max="13074" width="10.125" style="13" customWidth="1"/>
    <col min="13075" max="13075" width="10.75" style="13" customWidth="1"/>
    <col min="13076" max="13076" width="10" style="13" customWidth="1"/>
    <col min="13077" max="13077" width="9.25" style="13" customWidth="1"/>
    <col min="13078" max="13079" width="10.75" style="13" customWidth="1"/>
    <col min="13080" max="13080" width="9.25" style="13" customWidth="1"/>
    <col min="13081" max="13085" width="10.75" style="13" customWidth="1"/>
    <col min="13086" max="13086" width="10.25" style="13" customWidth="1"/>
    <col min="13087" max="13089" width="8.875" style="13" customWidth="1"/>
    <col min="13090" max="13091" width="10.125" style="13" customWidth="1"/>
    <col min="13092" max="13094" width="9.625" style="13" customWidth="1"/>
    <col min="13095" max="13095" width="10.125" style="13" customWidth="1"/>
    <col min="13096" max="13100" width="0" style="13" hidden="1" customWidth="1"/>
    <col min="13101" max="13101" width="10.125" style="13" customWidth="1"/>
    <col min="13102" max="13104" width="9.625" style="13" customWidth="1"/>
    <col min="13105" max="13105" width="10.125" style="13" customWidth="1"/>
    <col min="13106" max="13117" width="0" style="13" hidden="1" customWidth="1"/>
    <col min="13118" max="13118" width="10.125" style="13" customWidth="1"/>
    <col min="13119" max="13120" width="9.875" style="13" customWidth="1"/>
    <col min="13121" max="13121" width="12.625" style="13" customWidth="1"/>
    <col min="13122" max="13122" width="9.875" style="13" customWidth="1"/>
    <col min="13123" max="13123" width="12.625" style="13" customWidth="1"/>
    <col min="13124" max="13124" width="10.125" style="13" customWidth="1"/>
    <col min="13125" max="13125" width="9.25" style="13" customWidth="1"/>
    <col min="13126" max="13322" width="9.125" style="13"/>
    <col min="13323" max="13323" width="5.125" style="13" customWidth="1"/>
    <col min="13324" max="13324" width="24" style="13" customWidth="1"/>
    <col min="13325" max="13325" width="7.75" style="13" customWidth="1"/>
    <col min="13326" max="13326" width="9" style="13" customWidth="1"/>
    <col min="13327" max="13329" width="9.125" style="13" customWidth="1"/>
    <col min="13330" max="13330" width="10.125" style="13" customWidth="1"/>
    <col min="13331" max="13331" width="10.75" style="13" customWidth="1"/>
    <col min="13332" max="13332" width="10" style="13" customWidth="1"/>
    <col min="13333" max="13333" width="9.25" style="13" customWidth="1"/>
    <col min="13334" max="13335" width="10.75" style="13" customWidth="1"/>
    <col min="13336" max="13336" width="9.25" style="13" customWidth="1"/>
    <col min="13337" max="13341" width="10.75" style="13" customWidth="1"/>
    <col min="13342" max="13342" width="10.25" style="13" customWidth="1"/>
    <col min="13343" max="13345" width="8.875" style="13" customWidth="1"/>
    <col min="13346" max="13347" width="10.125" style="13" customWidth="1"/>
    <col min="13348" max="13350" width="9.625" style="13" customWidth="1"/>
    <col min="13351" max="13351" width="10.125" style="13" customWidth="1"/>
    <col min="13352" max="13356" width="0" style="13" hidden="1" customWidth="1"/>
    <col min="13357" max="13357" width="10.125" style="13" customWidth="1"/>
    <col min="13358" max="13360" width="9.625" style="13" customWidth="1"/>
    <col min="13361" max="13361" width="10.125" style="13" customWidth="1"/>
    <col min="13362" max="13373" width="0" style="13" hidden="1" customWidth="1"/>
    <col min="13374" max="13374" width="10.125" style="13" customWidth="1"/>
    <col min="13375" max="13376" width="9.875" style="13" customWidth="1"/>
    <col min="13377" max="13377" width="12.625" style="13" customWidth="1"/>
    <col min="13378" max="13378" width="9.875" style="13" customWidth="1"/>
    <col min="13379" max="13379" width="12.625" style="13" customWidth="1"/>
    <col min="13380" max="13380" width="10.125" style="13" customWidth="1"/>
    <col min="13381" max="13381" width="9.25" style="13" customWidth="1"/>
    <col min="13382" max="13578" width="9.125" style="13"/>
    <col min="13579" max="13579" width="5.125" style="13" customWidth="1"/>
    <col min="13580" max="13580" width="24" style="13" customWidth="1"/>
    <col min="13581" max="13581" width="7.75" style="13" customWidth="1"/>
    <col min="13582" max="13582" width="9" style="13" customWidth="1"/>
    <col min="13583" max="13585" width="9.125" style="13" customWidth="1"/>
    <col min="13586" max="13586" width="10.125" style="13" customWidth="1"/>
    <col min="13587" max="13587" width="10.75" style="13" customWidth="1"/>
    <col min="13588" max="13588" width="10" style="13" customWidth="1"/>
    <col min="13589" max="13589" width="9.25" style="13" customWidth="1"/>
    <col min="13590" max="13591" width="10.75" style="13" customWidth="1"/>
    <col min="13592" max="13592" width="9.25" style="13" customWidth="1"/>
    <col min="13593" max="13597" width="10.75" style="13" customWidth="1"/>
    <col min="13598" max="13598" width="10.25" style="13" customWidth="1"/>
    <col min="13599" max="13601" width="8.875" style="13" customWidth="1"/>
    <col min="13602" max="13603" width="10.125" style="13" customWidth="1"/>
    <col min="13604" max="13606" width="9.625" style="13" customWidth="1"/>
    <col min="13607" max="13607" width="10.125" style="13" customWidth="1"/>
    <col min="13608" max="13612" width="0" style="13" hidden="1" customWidth="1"/>
    <col min="13613" max="13613" width="10.125" style="13" customWidth="1"/>
    <col min="13614" max="13616" width="9.625" style="13" customWidth="1"/>
    <col min="13617" max="13617" width="10.125" style="13" customWidth="1"/>
    <col min="13618" max="13629" width="0" style="13" hidden="1" customWidth="1"/>
    <col min="13630" max="13630" width="10.125" style="13" customWidth="1"/>
    <col min="13631" max="13632" width="9.875" style="13" customWidth="1"/>
    <col min="13633" max="13633" width="12.625" style="13" customWidth="1"/>
    <col min="13634" max="13634" width="9.875" style="13" customWidth="1"/>
    <col min="13635" max="13635" width="12.625" style="13" customWidth="1"/>
    <col min="13636" max="13636" width="10.125" style="13" customWidth="1"/>
    <col min="13637" max="13637" width="9.25" style="13" customWidth="1"/>
    <col min="13638" max="13834" width="9.125" style="13"/>
    <col min="13835" max="13835" width="5.125" style="13" customWidth="1"/>
    <col min="13836" max="13836" width="24" style="13" customWidth="1"/>
    <col min="13837" max="13837" width="7.75" style="13" customWidth="1"/>
    <col min="13838" max="13838" width="9" style="13" customWidth="1"/>
    <col min="13839" max="13841" width="9.125" style="13" customWidth="1"/>
    <col min="13842" max="13842" width="10.125" style="13" customWidth="1"/>
    <col min="13843" max="13843" width="10.75" style="13" customWidth="1"/>
    <col min="13844" max="13844" width="10" style="13" customWidth="1"/>
    <col min="13845" max="13845" width="9.25" style="13" customWidth="1"/>
    <col min="13846" max="13847" width="10.75" style="13" customWidth="1"/>
    <col min="13848" max="13848" width="9.25" style="13" customWidth="1"/>
    <col min="13849" max="13853" width="10.75" style="13" customWidth="1"/>
    <col min="13854" max="13854" width="10.25" style="13" customWidth="1"/>
    <col min="13855" max="13857" width="8.875" style="13" customWidth="1"/>
    <col min="13858" max="13859" width="10.125" style="13" customWidth="1"/>
    <col min="13860" max="13862" width="9.625" style="13" customWidth="1"/>
    <col min="13863" max="13863" width="10.125" style="13" customWidth="1"/>
    <col min="13864" max="13868" width="0" style="13" hidden="1" customWidth="1"/>
    <col min="13869" max="13869" width="10.125" style="13" customWidth="1"/>
    <col min="13870" max="13872" width="9.625" style="13" customWidth="1"/>
    <col min="13873" max="13873" width="10.125" style="13" customWidth="1"/>
    <col min="13874" max="13885" width="0" style="13" hidden="1" customWidth="1"/>
    <col min="13886" max="13886" width="10.125" style="13" customWidth="1"/>
    <col min="13887" max="13888" width="9.875" style="13" customWidth="1"/>
    <col min="13889" max="13889" width="12.625" style="13" customWidth="1"/>
    <col min="13890" max="13890" width="9.875" style="13" customWidth="1"/>
    <col min="13891" max="13891" width="12.625" style="13" customWidth="1"/>
    <col min="13892" max="13892" width="10.125" style="13" customWidth="1"/>
    <col min="13893" max="13893" width="9.25" style="13" customWidth="1"/>
    <col min="13894" max="14090" width="9.125" style="13"/>
    <col min="14091" max="14091" width="5.125" style="13" customWidth="1"/>
    <col min="14092" max="14092" width="24" style="13" customWidth="1"/>
    <col min="14093" max="14093" width="7.75" style="13" customWidth="1"/>
    <col min="14094" max="14094" width="9" style="13" customWidth="1"/>
    <col min="14095" max="14097" width="9.125" style="13" customWidth="1"/>
    <col min="14098" max="14098" width="10.125" style="13" customWidth="1"/>
    <col min="14099" max="14099" width="10.75" style="13" customWidth="1"/>
    <col min="14100" max="14100" width="10" style="13" customWidth="1"/>
    <col min="14101" max="14101" width="9.25" style="13" customWidth="1"/>
    <col min="14102" max="14103" width="10.75" style="13" customWidth="1"/>
    <col min="14104" max="14104" width="9.25" style="13" customWidth="1"/>
    <col min="14105" max="14109" width="10.75" style="13" customWidth="1"/>
    <col min="14110" max="14110" width="10.25" style="13" customWidth="1"/>
    <col min="14111" max="14113" width="8.875" style="13" customWidth="1"/>
    <col min="14114" max="14115" width="10.125" style="13" customWidth="1"/>
    <col min="14116" max="14118" width="9.625" style="13" customWidth="1"/>
    <col min="14119" max="14119" width="10.125" style="13" customWidth="1"/>
    <col min="14120" max="14124" width="0" style="13" hidden="1" customWidth="1"/>
    <col min="14125" max="14125" width="10.125" style="13" customWidth="1"/>
    <col min="14126" max="14128" width="9.625" style="13" customWidth="1"/>
    <col min="14129" max="14129" width="10.125" style="13" customWidth="1"/>
    <col min="14130" max="14141" width="0" style="13" hidden="1" customWidth="1"/>
    <col min="14142" max="14142" width="10.125" style="13" customWidth="1"/>
    <col min="14143" max="14144" width="9.875" style="13" customWidth="1"/>
    <col min="14145" max="14145" width="12.625" style="13" customWidth="1"/>
    <col min="14146" max="14146" width="9.875" style="13" customWidth="1"/>
    <col min="14147" max="14147" width="12.625" style="13" customWidth="1"/>
    <col min="14148" max="14148" width="10.125" style="13" customWidth="1"/>
    <col min="14149" max="14149" width="9.25" style="13" customWidth="1"/>
    <col min="14150" max="14346" width="9.125" style="13"/>
    <col min="14347" max="14347" width="5.125" style="13" customWidth="1"/>
    <col min="14348" max="14348" width="24" style="13" customWidth="1"/>
    <col min="14349" max="14349" width="7.75" style="13" customWidth="1"/>
    <col min="14350" max="14350" width="9" style="13" customWidth="1"/>
    <col min="14351" max="14353" width="9.125" style="13" customWidth="1"/>
    <col min="14354" max="14354" width="10.125" style="13" customWidth="1"/>
    <col min="14355" max="14355" width="10.75" style="13" customWidth="1"/>
    <col min="14356" max="14356" width="10" style="13" customWidth="1"/>
    <col min="14357" max="14357" width="9.25" style="13" customWidth="1"/>
    <col min="14358" max="14359" width="10.75" style="13" customWidth="1"/>
    <col min="14360" max="14360" width="9.25" style="13" customWidth="1"/>
    <col min="14361" max="14365" width="10.75" style="13" customWidth="1"/>
    <col min="14366" max="14366" width="10.25" style="13" customWidth="1"/>
    <col min="14367" max="14369" width="8.875" style="13" customWidth="1"/>
    <col min="14370" max="14371" width="10.125" style="13" customWidth="1"/>
    <col min="14372" max="14374" width="9.625" style="13" customWidth="1"/>
    <col min="14375" max="14375" width="10.125" style="13" customWidth="1"/>
    <col min="14376" max="14380" width="0" style="13" hidden="1" customWidth="1"/>
    <col min="14381" max="14381" width="10.125" style="13" customWidth="1"/>
    <col min="14382" max="14384" width="9.625" style="13" customWidth="1"/>
    <col min="14385" max="14385" width="10.125" style="13" customWidth="1"/>
    <col min="14386" max="14397" width="0" style="13" hidden="1" customWidth="1"/>
    <col min="14398" max="14398" width="10.125" style="13" customWidth="1"/>
    <col min="14399" max="14400" width="9.875" style="13" customWidth="1"/>
    <col min="14401" max="14401" width="12.625" style="13" customWidth="1"/>
    <col min="14402" max="14402" width="9.875" style="13" customWidth="1"/>
    <col min="14403" max="14403" width="12.625" style="13" customWidth="1"/>
    <col min="14404" max="14404" width="10.125" style="13" customWidth="1"/>
    <col min="14405" max="14405" width="9.25" style="13" customWidth="1"/>
    <col min="14406" max="14602" width="9.125" style="13"/>
    <col min="14603" max="14603" width="5.125" style="13" customWidth="1"/>
    <col min="14604" max="14604" width="24" style="13" customWidth="1"/>
    <col min="14605" max="14605" width="7.75" style="13" customWidth="1"/>
    <col min="14606" max="14606" width="9" style="13" customWidth="1"/>
    <col min="14607" max="14609" width="9.125" style="13" customWidth="1"/>
    <col min="14610" max="14610" width="10.125" style="13" customWidth="1"/>
    <col min="14611" max="14611" width="10.75" style="13" customWidth="1"/>
    <col min="14612" max="14612" width="10" style="13" customWidth="1"/>
    <col min="14613" max="14613" width="9.25" style="13" customWidth="1"/>
    <col min="14614" max="14615" width="10.75" style="13" customWidth="1"/>
    <col min="14616" max="14616" width="9.25" style="13" customWidth="1"/>
    <col min="14617" max="14621" width="10.75" style="13" customWidth="1"/>
    <col min="14622" max="14622" width="10.25" style="13" customWidth="1"/>
    <col min="14623" max="14625" width="8.875" style="13" customWidth="1"/>
    <col min="14626" max="14627" width="10.125" style="13" customWidth="1"/>
    <col min="14628" max="14630" width="9.625" style="13" customWidth="1"/>
    <col min="14631" max="14631" width="10.125" style="13" customWidth="1"/>
    <col min="14632" max="14636" width="0" style="13" hidden="1" customWidth="1"/>
    <col min="14637" max="14637" width="10.125" style="13" customWidth="1"/>
    <col min="14638" max="14640" width="9.625" style="13" customWidth="1"/>
    <col min="14641" max="14641" width="10.125" style="13" customWidth="1"/>
    <col min="14642" max="14653" width="0" style="13" hidden="1" customWidth="1"/>
    <col min="14654" max="14654" width="10.125" style="13" customWidth="1"/>
    <col min="14655" max="14656" width="9.875" style="13" customWidth="1"/>
    <col min="14657" max="14657" width="12.625" style="13" customWidth="1"/>
    <col min="14658" max="14658" width="9.875" style="13" customWidth="1"/>
    <col min="14659" max="14659" width="12.625" style="13" customWidth="1"/>
    <col min="14660" max="14660" width="10.125" style="13" customWidth="1"/>
    <col min="14661" max="14661" width="9.25" style="13" customWidth="1"/>
    <col min="14662" max="14858" width="9.125" style="13"/>
    <col min="14859" max="14859" width="5.125" style="13" customWidth="1"/>
    <col min="14860" max="14860" width="24" style="13" customWidth="1"/>
    <col min="14861" max="14861" width="7.75" style="13" customWidth="1"/>
    <col min="14862" max="14862" width="9" style="13" customWidth="1"/>
    <col min="14863" max="14865" width="9.125" style="13" customWidth="1"/>
    <col min="14866" max="14866" width="10.125" style="13" customWidth="1"/>
    <col min="14867" max="14867" width="10.75" style="13" customWidth="1"/>
    <col min="14868" max="14868" width="10" style="13" customWidth="1"/>
    <col min="14869" max="14869" width="9.25" style="13" customWidth="1"/>
    <col min="14870" max="14871" width="10.75" style="13" customWidth="1"/>
    <col min="14872" max="14872" width="9.25" style="13" customWidth="1"/>
    <col min="14873" max="14877" width="10.75" style="13" customWidth="1"/>
    <col min="14878" max="14878" width="10.25" style="13" customWidth="1"/>
    <col min="14879" max="14881" width="8.875" style="13" customWidth="1"/>
    <col min="14882" max="14883" width="10.125" style="13" customWidth="1"/>
    <col min="14884" max="14886" width="9.625" style="13" customWidth="1"/>
    <col min="14887" max="14887" width="10.125" style="13" customWidth="1"/>
    <col min="14888" max="14892" width="0" style="13" hidden="1" customWidth="1"/>
    <col min="14893" max="14893" width="10.125" style="13" customWidth="1"/>
    <col min="14894" max="14896" width="9.625" style="13" customWidth="1"/>
    <col min="14897" max="14897" width="10.125" style="13" customWidth="1"/>
    <col min="14898" max="14909" width="0" style="13" hidden="1" customWidth="1"/>
    <col min="14910" max="14910" width="10.125" style="13" customWidth="1"/>
    <col min="14911" max="14912" width="9.875" style="13" customWidth="1"/>
    <col min="14913" max="14913" width="12.625" style="13" customWidth="1"/>
    <col min="14914" max="14914" width="9.875" style="13" customWidth="1"/>
    <col min="14915" max="14915" width="12.625" style="13" customWidth="1"/>
    <col min="14916" max="14916" width="10.125" style="13" customWidth="1"/>
    <col min="14917" max="14917" width="9.25" style="13" customWidth="1"/>
    <col min="14918" max="15114" width="9.125" style="13"/>
    <col min="15115" max="15115" width="5.125" style="13" customWidth="1"/>
    <col min="15116" max="15116" width="24" style="13" customWidth="1"/>
    <col min="15117" max="15117" width="7.75" style="13" customWidth="1"/>
    <col min="15118" max="15118" width="9" style="13" customWidth="1"/>
    <col min="15119" max="15121" width="9.125" style="13" customWidth="1"/>
    <col min="15122" max="15122" width="10.125" style="13" customWidth="1"/>
    <col min="15123" max="15123" width="10.75" style="13" customWidth="1"/>
    <col min="15124" max="15124" width="10" style="13" customWidth="1"/>
    <col min="15125" max="15125" width="9.25" style="13" customWidth="1"/>
    <col min="15126" max="15127" width="10.75" style="13" customWidth="1"/>
    <col min="15128" max="15128" width="9.25" style="13" customWidth="1"/>
    <col min="15129" max="15133" width="10.75" style="13" customWidth="1"/>
    <col min="15134" max="15134" width="10.25" style="13" customWidth="1"/>
    <col min="15135" max="15137" width="8.875" style="13" customWidth="1"/>
    <col min="15138" max="15139" width="10.125" style="13" customWidth="1"/>
    <col min="15140" max="15142" width="9.625" style="13" customWidth="1"/>
    <col min="15143" max="15143" width="10.125" style="13" customWidth="1"/>
    <col min="15144" max="15148" width="0" style="13" hidden="1" customWidth="1"/>
    <col min="15149" max="15149" width="10.125" style="13" customWidth="1"/>
    <col min="15150" max="15152" width="9.625" style="13" customWidth="1"/>
    <col min="15153" max="15153" width="10.125" style="13" customWidth="1"/>
    <col min="15154" max="15165" width="0" style="13" hidden="1" customWidth="1"/>
    <col min="15166" max="15166" width="10.125" style="13" customWidth="1"/>
    <col min="15167" max="15168" width="9.875" style="13" customWidth="1"/>
    <col min="15169" max="15169" width="12.625" style="13" customWidth="1"/>
    <col min="15170" max="15170" width="9.875" style="13" customWidth="1"/>
    <col min="15171" max="15171" width="12.625" style="13" customWidth="1"/>
    <col min="15172" max="15172" width="10.125" style="13" customWidth="1"/>
    <col min="15173" max="15173" width="9.25" style="13" customWidth="1"/>
    <col min="15174" max="15370" width="9.125" style="13"/>
    <col min="15371" max="15371" width="5.125" style="13" customWidth="1"/>
    <col min="15372" max="15372" width="24" style="13" customWidth="1"/>
    <col min="15373" max="15373" width="7.75" style="13" customWidth="1"/>
    <col min="15374" max="15374" width="9" style="13" customWidth="1"/>
    <col min="15375" max="15377" width="9.125" style="13" customWidth="1"/>
    <col min="15378" max="15378" width="10.125" style="13" customWidth="1"/>
    <col min="15379" max="15379" width="10.75" style="13" customWidth="1"/>
    <col min="15380" max="15380" width="10" style="13" customWidth="1"/>
    <col min="15381" max="15381" width="9.25" style="13" customWidth="1"/>
    <col min="15382" max="15383" width="10.75" style="13" customWidth="1"/>
    <col min="15384" max="15384" width="9.25" style="13" customWidth="1"/>
    <col min="15385" max="15389" width="10.75" style="13" customWidth="1"/>
    <col min="15390" max="15390" width="10.25" style="13" customWidth="1"/>
    <col min="15391" max="15393" width="8.875" style="13" customWidth="1"/>
    <col min="15394" max="15395" width="10.125" style="13" customWidth="1"/>
    <col min="15396" max="15398" width="9.625" style="13" customWidth="1"/>
    <col min="15399" max="15399" width="10.125" style="13" customWidth="1"/>
    <col min="15400" max="15404" width="0" style="13" hidden="1" customWidth="1"/>
    <col min="15405" max="15405" width="10.125" style="13" customWidth="1"/>
    <col min="15406" max="15408" width="9.625" style="13" customWidth="1"/>
    <col min="15409" max="15409" width="10.125" style="13" customWidth="1"/>
    <col min="15410" max="15421" width="0" style="13" hidden="1" customWidth="1"/>
    <col min="15422" max="15422" width="10.125" style="13" customWidth="1"/>
    <col min="15423" max="15424" width="9.875" style="13" customWidth="1"/>
    <col min="15425" max="15425" width="12.625" style="13" customWidth="1"/>
    <col min="15426" max="15426" width="9.875" style="13" customWidth="1"/>
    <col min="15427" max="15427" width="12.625" style="13" customWidth="1"/>
    <col min="15428" max="15428" width="10.125" style="13" customWidth="1"/>
    <col min="15429" max="15429" width="9.25" style="13" customWidth="1"/>
    <col min="15430" max="15626" width="9.125" style="13"/>
    <col min="15627" max="15627" width="5.125" style="13" customWidth="1"/>
    <col min="15628" max="15628" width="24" style="13" customWidth="1"/>
    <col min="15629" max="15629" width="7.75" style="13" customWidth="1"/>
    <col min="15630" max="15630" width="9" style="13" customWidth="1"/>
    <col min="15631" max="15633" width="9.125" style="13" customWidth="1"/>
    <col min="15634" max="15634" width="10.125" style="13" customWidth="1"/>
    <col min="15635" max="15635" width="10.75" style="13" customWidth="1"/>
    <col min="15636" max="15636" width="10" style="13" customWidth="1"/>
    <col min="15637" max="15637" width="9.25" style="13" customWidth="1"/>
    <col min="15638" max="15639" width="10.75" style="13" customWidth="1"/>
    <col min="15640" max="15640" width="9.25" style="13" customWidth="1"/>
    <col min="15641" max="15645" width="10.75" style="13" customWidth="1"/>
    <col min="15646" max="15646" width="10.25" style="13" customWidth="1"/>
    <col min="15647" max="15649" width="8.875" style="13" customWidth="1"/>
    <col min="15650" max="15651" width="10.125" style="13" customWidth="1"/>
    <col min="15652" max="15654" width="9.625" style="13" customWidth="1"/>
    <col min="15655" max="15655" width="10.125" style="13" customWidth="1"/>
    <col min="15656" max="15660" width="0" style="13" hidden="1" customWidth="1"/>
    <col min="15661" max="15661" width="10.125" style="13" customWidth="1"/>
    <col min="15662" max="15664" width="9.625" style="13" customWidth="1"/>
    <col min="15665" max="15665" width="10.125" style="13" customWidth="1"/>
    <col min="15666" max="15677" width="0" style="13" hidden="1" customWidth="1"/>
    <col min="15678" max="15678" width="10.125" style="13" customWidth="1"/>
    <col min="15679" max="15680" width="9.875" style="13" customWidth="1"/>
    <col min="15681" max="15681" width="12.625" style="13" customWidth="1"/>
    <col min="15682" max="15682" width="9.875" style="13" customWidth="1"/>
    <col min="15683" max="15683" width="12.625" style="13" customWidth="1"/>
    <col min="15684" max="15684" width="10.125" style="13" customWidth="1"/>
    <col min="15685" max="15685" width="9.25" style="13" customWidth="1"/>
    <col min="15686" max="15882" width="9.125" style="13"/>
    <col min="15883" max="15883" width="5.125" style="13" customWidth="1"/>
    <col min="15884" max="15884" width="24" style="13" customWidth="1"/>
    <col min="15885" max="15885" width="7.75" style="13" customWidth="1"/>
    <col min="15886" max="15886" width="9" style="13" customWidth="1"/>
    <col min="15887" max="15889" width="9.125" style="13" customWidth="1"/>
    <col min="15890" max="15890" width="10.125" style="13" customWidth="1"/>
    <col min="15891" max="15891" width="10.75" style="13" customWidth="1"/>
    <col min="15892" max="15892" width="10" style="13" customWidth="1"/>
    <col min="15893" max="15893" width="9.25" style="13" customWidth="1"/>
    <col min="15894" max="15895" width="10.75" style="13" customWidth="1"/>
    <col min="15896" max="15896" width="9.25" style="13" customWidth="1"/>
    <col min="15897" max="15901" width="10.75" style="13" customWidth="1"/>
    <col min="15902" max="15902" width="10.25" style="13" customWidth="1"/>
    <col min="15903" max="15905" width="8.875" style="13" customWidth="1"/>
    <col min="15906" max="15907" width="10.125" style="13" customWidth="1"/>
    <col min="15908" max="15910" width="9.625" style="13" customWidth="1"/>
    <col min="15911" max="15911" width="10.125" style="13" customWidth="1"/>
    <col min="15912" max="15916" width="0" style="13" hidden="1" customWidth="1"/>
    <col min="15917" max="15917" width="10.125" style="13" customWidth="1"/>
    <col min="15918" max="15920" width="9.625" style="13" customWidth="1"/>
    <col min="15921" max="15921" width="10.125" style="13" customWidth="1"/>
    <col min="15922" max="15933" width="0" style="13" hidden="1" customWidth="1"/>
    <col min="15934" max="15934" width="10.125" style="13" customWidth="1"/>
    <col min="15935" max="15936" width="9.875" style="13" customWidth="1"/>
    <col min="15937" max="15937" width="12.625" style="13" customWidth="1"/>
    <col min="15938" max="15938" width="9.875" style="13" customWidth="1"/>
    <col min="15939" max="15939" width="12.625" style="13" customWidth="1"/>
    <col min="15940" max="15940" width="10.125" style="13" customWidth="1"/>
    <col min="15941" max="15941" width="9.25" style="13" customWidth="1"/>
    <col min="15942" max="16138" width="9.125" style="13"/>
    <col min="16139" max="16139" width="5.125" style="13" customWidth="1"/>
    <col min="16140" max="16140" width="24" style="13" customWidth="1"/>
    <col min="16141" max="16141" width="7.75" style="13" customWidth="1"/>
    <col min="16142" max="16142" width="9" style="13" customWidth="1"/>
    <col min="16143" max="16145" width="9.125" style="13" customWidth="1"/>
    <col min="16146" max="16146" width="10.125" style="13" customWidth="1"/>
    <col min="16147" max="16147" width="10.75" style="13" customWidth="1"/>
    <col min="16148" max="16148" width="10" style="13" customWidth="1"/>
    <col min="16149" max="16149" width="9.25" style="13" customWidth="1"/>
    <col min="16150" max="16151" width="10.75" style="13" customWidth="1"/>
    <col min="16152" max="16152" width="9.25" style="13" customWidth="1"/>
    <col min="16153" max="16157" width="10.75" style="13" customWidth="1"/>
    <col min="16158" max="16158" width="10.25" style="13" customWidth="1"/>
    <col min="16159" max="16161" width="8.875" style="13" customWidth="1"/>
    <col min="16162" max="16163" width="10.125" style="13" customWidth="1"/>
    <col min="16164" max="16166" width="9.625" style="13" customWidth="1"/>
    <col min="16167" max="16167" width="10.125" style="13" customWidth="1"/>
    <col min="16168" max="16172" width="0" style="13" hidden="1" customWidth="1"/>
    <col min="16173" max="16173" width="10.125" style="13" customWidth="1"/>
    <col min="16174" max="16176" width="9.625" style="13" customWidth="1"/>
    <col min="16177" max="16177" width="10.125" style="13" customWidth="1"/>
    <col min="16178" max="16189" width="0" style="13" hidden="1" customWidth="1"/>
    <col min="16190" max="16190" width="10.125" style="13" customWidth="1"/>
    <col min="16191" max="16192" width="9.875" style="13" customWidth="1"/>
    <col min="16193" max="16193" width="12.625" style="13" customWidth="1"/>
    <col min="16194" max="16194" width="9.875" style="13" customWidth="1"/>
    <col min="16195" max="16195" width="12.625" style="13" customWidth="1"/>
    <col min="16196" max="16196" width="10.125" style="13" customWidth="1"/>
    <col min="16197" max="16197" width="9.25" style="13" customWidth="1"/>
    <col min="16198" max="16384" width="9.125" style="13"/>
  </cols>
  <sheetData>
    <row r="1" spans="1:72" s="14" customFormat="1" ht="34.5" customHeight="1">
      <c r="A1" s="814" t="s">
        <v>91</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842" t="s">
        <v>1</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49</v>
      </c>
      <c r="BI2" s="57"/>
      <c r="BJ2" s="57"/>
      <c r="BK2" s="57"/>
      <c r="BL2" s="57"/>
      <c r="BM2" s="57"/>
      <c r="BN2" s="57"/>
      <c r="BO2" s="57"/>
      <c r="BP2" s="57"/>
      <c r="BQ2" s="57"/>
      <c r="BR2" s="57"/>
      <c r="BS2" s="57"/>
      <c r="BT2" s="57"/>
    </row>
    <row r="3" spans="1:72" s="14" customFormat="1" ht="26.25" customHeight="1">
      <c r="A3" s="843" t="s">
        <v>92</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3"/>
      <c r="AY3" s="843"/>
      <c r="AZ3" s="843"/>
      <c r="BA3" s="843"/>
      <c r="BB3" s="843"/>
      <c r="BC3" s="843"/>
      <c r="BD3" s="843"/>
      <c r="BE3" s="843"/>
      <c r="BF3" s="843"/>
      <c r="BG3" s="843"/>
      <c r="BH3" s="843"/>
      <c r="BI3" s="843"/>
      <c r="BJ3" s="843"/>
      <c r="BK3" s="843"/>
      <c r="BL3" s="843"/>
      <c r="BM3" s="843"/>
      <c r="BN3" s="843"/>
      <c r="BO3" s="843"/>
      <c r="BP3" s="843"/>
      <c r="BQ3" s="843"/>
    </row>
    <row r="4" spans="1:72" s="14" customFormat="1" ht="33" customHeight="1">
      <c r="A4" s="844" t="s">
        <v>93</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844"/>
      <c r="BA4" s="844"/>
      <c r="BB4" s="844"/>
      <c r="BC4" s="844"/>
      <c r="BD4" s="844"/>
      <c r="BE4" s="844"/>
      <c r="BF4" s="844"/>
      <c r="BG4" s="844"/>
      <c r="BH4" s="844"/>
      <c r="BI4" s="844"/>
      <c r="BJ4" s="844"/>
      <c r="BK4" s="844"/>
      <c r="BL4" s="844"/>
      <c r="BM4" s="844"/>
      <c r="BN4" s="844"/>
      <c r="BO4" s="844"/>
      <c r="BP4" s="844"/>
      <c r="BQ4" s="844"/>
    </row>
    <row r="5" spans="1:72" ht="33.75" customHeight="1">
      <c r="A5" s="845" t="s">
        <v>94</v>
      </c>
      <c r="B5" s="845"/>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5"/>
      <c r="AS5" s="845"/>
      <c r="AT5" s="845"/>
      <c r="AU5" s="845"/>
      <c r="AV5" s="845"/>
      <c r="AW5" s="845"/>
      <c r="AX5" s="845"/>
      <c r="AY5" s="845"/>
      <c r="AZ5" s="845"/>
      <c r="BA5" s="845"/>
      <c r="BB5" s="845"/>
      <c r="BC5" s="845"/>
      <c r="BD5" s="845"/>
      <c r="BE5" s="845"/>
      <c r="BF5" s="845"/>
      <c r="BG5" s="845"/>
      <c r="BH5" s="845"/>
      <c r="BI5" s="845"/>
      <c r="BJ5" s="845"/>
      <c r="BK5" s="845"/>
      <c r="BL5" s="845"/>
      <c r="BM5" s="845"/>
      <c r="BN5" s="845"/>
      <c r="BO5" s="845"/>
      <c r="BP5" s="845"/>
      <c r="BQ5" s="845"/>
    </row>
    <row r="6" spans="1:72" ht="35.25" customHeight="1">
      <c r="A6" s="846" t="s">
        <v>95</v>
      </c>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6"/>
      <c r="AY6" s="846"/>
      <c r="AZ6" s="846"/>
      <c r="BA6" s="846"/>
      <c r="BB6" s="846"/>
      <c r="BC6" s="846"/>
      <c r="BD6" s="846"/>
      <c r="BE6" s="846"/>
      <c r="BF6" s="846"/>
      <c r="BG6" s="846"/>
      <c r="BH6" s="846"/>
      <c r="BI6" s="846"/>
      <c r="BJ6" s="846"/>
      <c r="BK6" s="846"/>
      <c r="BL6" s="846"/>
      <c r="BM6" s="846"/>
      <c r="BN6" s="846"/>
      <c r="BO6" s="846"/>
      <c r="BP6" s="846"/>
      <c r="BQ6" s="846"/>
    </row>
    <row r="7" spans="1:72" s="15" customFormat="1" ht="35.25" customHeight="1">
      <c r="A7" s="847" t="s">
        <v>3</v>
      </c>
      <c r="B7" s="847"/>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7"/>
      <c r="AX7" s="847"/>
      <c r="AY7" s="847"/>
      <c r="AZ7" s="847"/>
      <c r="BA7" s="847"/>
      <c r="BB7" s="847"/>
      <c r="BC7" s="847"/>
      <c r="BD7" s="847"/>
      <c r="BE7" s="847"/>
      <c r="BF7" s="847"/>
      <c r="BG7" s="847"/>
      <c r="BH7" s="847"/>
      <c r="BI7" s="847"/>
      <c r="BJ7" s="847"/>
      <c r="BK7" s="847"/>
      <c r="BL7" s="847"/>
      <c r="BM7" s="847"/>
      <c r="BN7" s="847"/>
      <c r="BO7" s="847"/>
      <c r="BP7" s="847"/>
      <c r="BQ7" s="847"/>
    </row>
    <row r="8" spans="1:72" s="16" customFormat="1" ht="48.75" customHeight="1">
      <c r="A8" s="848" t="s">
        <v>22</v>
      </c>
      <c r="B8" s="848" t="s">
        <v>51</v>
      </c>
      <c r="C8" s="848" t="s">
        <v>24</v>
      </c>
      <c r="D8" s="848" t="s">
        <v>25</v>
      </c>
      <c r="E8" s="848" t="s">
        <v>26</v>
      </c>
      <c r="F8" s="848" t="s">
        <v>52</v>
      </c>
      <c r="G8" s="848" t="s">
        <v>53</v>
      </c>
      <c r="H8" s="851" t="s">
        <v>54</v>
      </c>
      <c r="I8" s="852"/>
      <c r="J8" s="852"/>
      <c r="K8" s="852"/>
      <c r="L8" s="852"/>
      <c r="M8" s="852"/>
      <c r="N8" s="852"/>
      <c r="O8" s="853"/>
      <c r="P8" s="854" t="s">
        <v>96</v>
      </c>
      <c r="Q8" s="855"/>
      <c r="R8" s="855"/>
      <c r="S8" s="855"/>
      <c r="T8" s="855"/>
      <c r="U8" s="855"/>
      <c r="V8" s="855"/>
      <c r="W8" s="854" t="s">
        <v>97</v>
      </c>
      <c r="X8" s="855"/>
      <c r="Y8" s="855"/>
      <c r="Z8" s="855"/>
      <c r="AA8" s="855"/>
      <c r="AB8" s="855"/>
      <c r="AC8" s="855"/>
      <c r="AD8" s="858" t="s">
        <v>58</v>
      </c>
      <c r="AE8" s="859"/>
      <c r="AF8" s="859"/>
      <c r="AG8" s="859"/>
      <c r="AH8" s="860"/>
      <c r="AI8" s="858" t="s">
        <v>98</v>
      </c>
      <c r="AJ8" s="859"/>
      <c r="AK8" s="859"/>
      <c r="AL8" s="859"/>
      <c r="AM8" s="859"/>
      <c r="AN8" s="859"/>
      <c r="AO8" s="860"/>
      <c r="AP8" s="858" t="s">
        <v>59</v>
      </c>
      <c r="AQ8" s="859"/>
      <c r="AR8" s="859"/>
      <c r="AS8" s="859"/>
      <c r="AT8" s="859"/>
      <c r="AU8" s="859"/>
      <c r="AV8" s="859"/>
      <c r="AW8" s="859"/>
      <c r="AX8" s="860"/>
      <c r="AY8" s="858" t="s">
        <v>28</v>
      </c>
      <c r="AZ8" s="859"/>
      <c r="BA8" s="859"/>
      <c r="BB8" s="859"/>
      <c r="BC8" s="859"/>
      <c r="BD8" s="859"/>
      <c r="BE8" s="859"/>
      <c r="BF8" s="859"/>
      <c r="BG8" s="860"/>
      <c r="BH8" s="858" t="s">
        <v>29</v>
      </c>
      <c r="BI8" s="859"/>
      <c r="BJ8" s="859"/>
      <c r="BK8" s="859"/>
      <c r="BL8" s="859"/>
      <c r="BM8" s="859"/>
      <c r="BN8" s="859"/>
      <c r="BO8" s="859"/>
      <c r="BP8" s="860"/>
      <c r="BQ8" s="854" t="s">
        <v>7</v>
      </c>
    </row>
    <row r="9" spans="1:72" s="16" customFormat="1" ht="29.25" customHeight="1">
      <c r="A9" s="849"/>
      <c r="B9" s="849"/>
      <c r="C9" s="849"/>
      <c r="D9" s="849"/>
      <c r="E9" s="849"/>
      <c r="F9" s="849"/>
      <c r="G9" s="849"/>
      <c r="H9" s="856" t="s">
        <v>60</v>
      </c>
      <c r="I9" s="856" t="s">
        <v>30</v>
      </c>
      <c r="J9" s="856"/>
      <c r="K9" s="856"/>
      <c r="L9" s="856"/>
      <c r="M9" s="856"/>
      <c r="N9" s="856"/>
      <c r="O9" s="856"/>
      <c r="P9" s="855"/>
      <c r="Q9" s="855"/>
      <c r="R9" s="855"/>
      <c r="S9" s="855"/>
      <c r="T9" s="855"/>
      <c r="U9" s="855"/>
      <c r="V9" s="855"/>
      <c r="W9" s="855"/>
      <c r="X9" s="855"/>
      <c r="Y9" s="855"/>
      <c r="Z9" s="855"/>
      <c r="AA9" s="855"/>
      <c r="AB9" s="855"/>
      <c r="AC9" s="855"/>
      <c r="AD9" s="861"/>
      <c r="AE9" s="862"/>
      <c r="AF9" s="862"/>
      <c r="AG9" s="862"/>
      <c r="AH9" s="863"/>
      <c r="AI9" s="861"/>
      <c r="AJ9" s="862"/>
      <c r="AK9" s="862"/>
      <c r="AL9" s="862"/>
      <c r="AM9" s="862"/>
      <c r="AN9" s="862"/>
      <c r="AO9" s="863"/>
      <c r="AP9" s="861"/>
      <c r="AQ9" s="862"/>
      <c r="AR9" s="862"/>
      <c r="AS9" s="862"/>
      <c r="AT9" s="862"/>
      <c r="AU9" s="862"/>
      <c r="AV9" s="862"/>
      <c r="AW9" s="862"/>
      <c r="AX9" s="863"/>
      <c r="AY9" s="861"/>
      <c r="AZ9" s="862"/>
      <c r="BA9" s="862"/>
      <c r="BB9" s="862"/>
      <c r="BC9" s="862"/>
      <c r="BD9" s="862"/>
      <c r="BE9" s="862"/>
      <c r="BF9" s="862"/>
      <c r="BG9" s="863"/>
      <c r="BH9" s="861"/>
      <c r="BI9" s="862"/>
      <c r="BJ9" s="862"/>
      <c r="BK9" s="862"/>
      <c r="BL9" s="862"/>
      <c r="BM9" s="862"/>
      <c r="BN9" s="862"/>
      <c r="BO9" s="862"/>
      <c r="BP9" s="863"/>
      <c r="BQ9" s="854"/>
    </row>
    <row r="10" spans="1:72" s="16" customFormat="1" ht="30.75" customHeight="1">
      <c r="A10" s="849"/>
      <c r="B10" s="849"/>
      <c r="C10" s="849"/>
      <c r="D10" s="849"/>
      <c r="E10" s="849"/>
      <c r="F10" s="849"/>
      <c r="G10" s="849"/>
      <c r="H10" s="856"/>
      <c r="I10" s="856" t="s">
        <v>31</v>
      </c>
      <c r="J10" s="857" t="s">
        <v>15</v>
      </c>
      <c r="K10" s="857"/>
      <c r="L10" s="857"/>
      <c r="M10" s="857"/>
      <c r="N10" s="857"/>
      <c r="O10" s="857"/>
      <c r="P10" s="856" t="s">
        <v>31</v>
      </c>
      <c r="Q10" s="857" t="s">
        <v>15</v>
      </c>
      <c r="R10" s="857"/>
      <c r="S10" s="857"/>
      <c r="T10" s="857"/>
      <c r="U10" s="857"/>
      <c r="V10" s="857"/>
      <c r="W10" s="856" t="s">
        <v>31</v>
      </c>
      <c r="X10" s="857" t="s">
        <v>15</v>
      </c>
      <c r="Y10" s="857"/>
      <c r="Z10" s="857"/>
      <c r="AA10" s="857"/>
      <c r="AB10" s="857"/>
      <c r="AC10" s="857"/>
      <c r="AD10" s="856" t="s">
        <v>31</v>
      </c>
      <c r="AE10" s="857" t="s">
        <v>15</v>
      </c>
      <c r="AF10" s="857"/>
      <c r="AG10" s="857"/>
      <c r="AH10" s="857"/>
      <c r="AI10" s="856" t="s">
        <v>31</v>
      </c>
      <c r="AJ10" s="857" t="s">
        <v>15</v>
      </c>
      <c r="AK10" s="857"/>
      <c r="AL10" s="857"/>
      <c r="AM10" s="857"/>
      <c r="AN10" s="857"/>
      <c r="AO10" s="857"/>
      <c r="AP10" s="856" t="s">
        <v>31</v>
      </c>
      <c r="AQ10" s="857" t="s">
        <v>15</v>
      </c>
      <c r="AR10" s="857"/>
      <c r="AS10" s="857"/>
      <c r="AT10" s="857"/>
      <c r="AU10" s="857"/>
      <c r="AV10" s="857"/>
      <c r="AW10" s="857"/>
      <c r="AX10" s="857"/>
      <c r="AY10" s="856" t="s">
        <v>31</v>
      </c>
      <c r="AZ10" s="857" t="s">
        <v>15</v>
      </c>
      <c r="BA10" s="857"/>
      <c r="BB10" s="857"/>
      <c r="BC10" s="857"/>
      <c r="BD10" s="857"/>
      <c r="BE10" s="857"/>
      <c r="BF10" s="857"/>
      <c r="BG10" s="857"/>
      <c r="BH10" s="856" t="s">
        <v>31</v>
      </c>
      <c r="BI10" s="857" t="s">
        <v>15</v>
      </c>
      <c r="BJ10" s="857"/>
      <c r="BK10" s="857"/>
      <c r="BL10" s="857"/>
      <c r="BM10" s="857"/>
      <c r="BN10" s="857"/>
      <c r="BO10" s="857"/>
      <c r="BP10" s="857"/>
      <c r="BQ10" s="854"/>
    </row>
    <row r="11" spans="1:72" s="16" customFormat="1" ht="40.15" customHeight="1">
      <c r="A11" s="849"/>
      <c r="B11" s="849"/>
      <c r="C11" s="849"/>
      <c r="D11" s="849"/>
      <c r="E11" s="849"/>
      <c r="F11" s="849"/>
      <c r="G11" s="849"/>
      <c r="H11" s="856"/>
      <c r="I11" s="856"/>
      <c r="J11" s="854" t="s">
        <v>61</v>
      </c>
      <c r="K11" s="854"/>
      <c r="L11" s="856" t="s">
        <v>62</v>
      </c>
      <c r="M11" s="856"/>
      <c r="N11" s="856"/>
      <c r="O11" s="856"/>
      <c r="P11" s="856"/>
      <c r="Q11" s="854" t="s">
        <v>63</v>
      </c>
      <c r="R11" s="854"/>
      <c r="S11" s="854"/>
      <c r="T11" s="851" t="s">
        <v>64</v>
      </c>
      <c r="U11" s="852"/>
      <c r="V11" s="853"/>
      <c r="W11" s="856"/>
      <c r="X11" s="854" t="s">
        <v>63</v>
      </c>
      <c r="Y11" s="854"/>
      <c r="Z11" s="854"/>
      <c r="AA11" s="851" t="s">
        <v>64</v>
      </c>
      <c r="AB11" s="852"/>
      <c r="AC11" s="853"/>
      <c r="AD11" s="856"/>
      <c r="AE11" s="854" t="s">
        <v>63</v>
      </c>
      <c r="AF11" s="854"/>
      <c r="AG11" s="854"/>
      <c r="AH11" s="856" t="s">
        <v>64</v>
      </c>
      <c r="AI11" s="856"/>
      <c r="AJ11" s="854" t="s">
        <v>63</v>
      </c>
      <c r="AK11" s="854"/>
      <c r="AL11" s="854"/>
      <c r="AM11" s="851" t="s">
        <v>64</v>
      </c>
      <c r="AN11" s="852"/>
      <c r="AO11" s="853"/>
      <c r="AP11" s="856"/>
      <c r="AQ11" s="864" t="s">
        <v>63</v>
      </c>
      <c r="AR11" s="865"/>
      <c r="AS11" s="865"/>
      <c r="AT11" s="865"/>
      <c r="AU11" s="866"/>
      <c r="AV11" s="851" t="s">
        <v>64</v>
      </c>
      <c r="AW11" s="852"/>
      <c r="AX11" s="853"/>
      <c r="AY11" s="856"/>
      <c r="AZ11" s="864" t="s">
        <v>63</v>
      </c>
      <c r="BA11" s="865"/>
      <c r="BB11" s="865"/>
      <c r="BC11" s="865"/>
      <c r="BD11" s="866"/>
      <c r="BE11" s="851" t="s">
        <v>64</v>
      </c>
      <c r="BF11" s="852"/>
      <c r="BG11" s="853"/>
      <c r="BH11" s="856"/>
      <c r="BI11" s="864" t="s">
        <v>63</v>
      </c>
      <c r="BJ11" s="865"/>
      <c r="BK11" s="865"/>
      <c r="BL11" s="865"/>
      <c r="BM11" s="866"/>
      <c r="BN11" s="851" t="s">
        <v>64</v>
      </c>
      <c r="BO11" s="852"/>
      <c r="BP11" s="853"/>
      <c r="BQ11" s="854"/>
    </row>
    <row r="12" spans="1:72" s="16" customFormat="1" ht="32.25" customHeight="1">
      <c r="A12" s="849"/>
      <c r="B12" s="849"/>
      <c r="C12" s="849"/>
      <c r="D12" s="849"/>
      <c r="E12" s="849"/>
      <c r="F12" s="849"/>
      <c r="G12" s="849"/>
      <c r="H12" s="856"/>
      <c r="I12" s="856"/>
      <c r="J12" s="854"/>
      <c r="K12" s="854"/>
      <c r="L12" s="856"/>
      <c r="M12" s="856"/>
      <c r="N12" s="856"/>
      <c r="O12" s="856"/>
      <c r="P12" s="856"/>
      <c r="Q12" s="856" t="s">
        <v>9</v>
      </c>
      <c r="R12" s="856" t="s">
        <v>65</v>
      </c>
      <c r="S12" s="856"/>
      <c r="T12" s="848" t="s">
        <v>9</v>
      </c>
      <c r="U12" s="864" t="s">
        <v>65</v>
      </c>
      <c r="V12" s="866"/>
      <c r="W12" s="856"/>
      <c r="X12" s="856" t="s">
        <v>9</v>
      </c>
      <c r="Y12" s="856" t="s">
        <v>65</v>
      </c>
      <c r="Z12" s="856"/>
      <c r="AA12" s="848" t="s">
        <v>9</v>
      </c>
      <c r="AB12" s="864" t="s">
        <v>65</v>
      </c>
      <c r="AC12" s="866"/>
      <c r="AD12" s="856"/>
      <c r="AE12" s="856" t="s">
        <v>9</v>
      </c>
      <c r="AF12" s="856" t="s">
        <v>65</v>
      </c>
      <c r="AG12" s="856"/>
      <c r="AH12" s="856"/>
      <c r="AI12" s="856"/>
      <c r="AJ12" s="856" t="s">
        <v>9</v>
      </c>
      <c r="AK12" s="856" t="s">
        <v>65</v>
      </c>
      <c r="AL12" s="856"/>
      <c r="AM12" s="848" t="s">
        <v>9</v>
      </c>
      <c r="AN12" s="864" t="s">
        <v>65</v>
      </c>
      <c r="AO12" s="866"/>
      <c r="AP12" s="856"/>
      <c r="AQ12" s="856" t="s">
        <v>9</v>
      </c>
      <c r="AR12" s="856" t="s">
        <v>65</v>
      </c>
      <c r="AS12" s="856"/>
      <c r="AT12" s="856"/>
      <c r="AU12" s="856"/>
      <c r="AV12" s="848" t="s">
        <v>9</v>
      </c>
      <c r="AW12" s="864" t="s">
        <v>65</v>
      </c>
      <c r="AX12" s="866"/>
      <c r="AY12" s="856"/>
      <c r="AZ12" s="856" t="s">
        <v>9</v>
      </c>
      <c r="BA12" s="856" t="s">
        <v>65</v>
      </c>
      <c r="BB12" s="856"/>
      <c r="BC12" s="856"/>
      <c r="BD12" s="856"/>
      <c r="BE12" s="848" t="s">
        <v>9</v>
      </c>
      <c r="BF12" s="864" t="s">
        <v>65</v>
      </c>
      <c r="BG12" s="866"/>
      <c r="BH12" s="856"/>
      <c r="BI12" s="856" t="s">
        <v>9</v>
      </c>
      <c r="BJ12" s="856" t="s">
        <v>65</v>
      </c>
      <c r="BK12" s="856"/>
      <c r="BL12" s="856"/>
      <c r="BM12" s="856"/>
      <c r="BN12" s="848" t="s">
        <v>9</v>
      </c>
      <c r="BO12" s="864" t="s">
        <v>65</v>
      </c>
      <c r="BP12" s="866"/>
      <c r="BQ12" s="854"/>
    </row>
    <row r="13" spans="1:72" s="16" customFormat="1" ht="30" customHeight="1">
      <c r="A13" s="849"/>
      <c r="B13" s="849"/>
      <c r="C13" s="849"/>
      <c r="D13" s="849"/>
      <c r="E13" s="849"/>
      <c r="F13" s="849"/>
      <c r="G13" s="849"/>
      <c r="H13" s="856"/>
      <c r="I13" s="856"/>
      <c r="J13" s="856" t="s">
        <v>9</v>
      </c>
      <c r="K13" s="856" t="s">
        <v>99</v>
      </c>
      <c r="L13" s="867" t="s">
        <v>66</v>
      </c>
      <c r="M13" s="851" t="s">
        <v>67</v>
      </c>
      <c r="N13" s="852"/>
      <c r="O13" s="853"/>
      <c r="P13" s="856"/>
      <c r="Q13" s="856"/>
      <c r="R13" s="856" t="s">
        <v>68</v>
      </c>
      <c r="S13" s="856" t="s">
        <v>69</v>
      </c>
      <c r="T13" s="849"/>
      <c r="U13" s="867" t="s">
        <v>70</v>
      </c>
      <c r="V13" s="867" t="s">
        <v>71</v>
      </c>
      <c r="W13" s="856"/>
      <c r="X13" s="856"/>
      <c r="Y13" s="856" t="s">
        <v>68</v>
      </c>
      <c r="Z13" s="856" t="s">
        <v>69</v>
      </c>
      <c r="AA13" s="849"/>
      <c r="AB13" s="867" t="s">
        <v>70</v>
      </c>
      <c r="AC13" s="867" t="s">
        <v>71</v>
      </c>
      <c r="AD13" s="856"/>
      <c r="AE13" s="856"/>
      <c r="AF13" s="856" t="s">
        <v>68</v>
      </c>
      <c r="AG13" s="856" t="s">
        <v>69</v>
      </c>
      <c r="AH13" s="856"/>
      <c r="AI13" s="856"/>
      <c r="AJ13" s="856"/>
      <c r="AK13" s="856" t="s">
        <v>99</v>
      </c>
      <c r="AL13" s="856" t="s">
        <v>69</v>
      </c>
      <c r="AM13" s="849"/>
      <c r="AN13" s="867" t="s">
        <v>70</v>
      </c>
      <c r="AO13" s="867" t="s">
        <v>71</v>
      </c>
      <c r="AP13" s="856"/>
      <c r="AQ13" s="856"/>
      <c r="AR13" s="856" t="s">
        <v>68</v>
      </c>
      <c r="AS13" s="856"/>
      <c r="AT13" s="856" t="s">
        <v>69</v>
      </c>
      <c r="AU13" s="856"/>
      <c r="AV13" s="849"/>
      <c r="AW13" s="867" t="s">
        <v>70</v>
      </c>
      <c r="AX13" s="867" t="s">
        <v>71</v>
      </c>
      <c r="AY13" s="856"/>
      <c r="AZ13" s="856"/>
      <c r="BA13" s="856" t="s">
        <v>68</v>
      </c>
      <c r="BB13" s="856"/>
      <c r="BC13" s="856" t="s">
        <v>69</v>
      </c>
      <c r="BD13" s="856"/>
      <c r="BE13" s="849"/>
      <c r="BF13" s="867" t="s">
        <v>70</v>
      </c>
      <c r="BG13" s="867" t="s">
        <v>71</v>
      </c>
      <c r="BH13" s="856"/>
      <c r="BI13" s="856"/>
      <c r="BJ13" s="856" t="s">
        <v>68</v>
      </c>
      <c r="BK13" s="856"/>
      <c r="BL13" s="856" t="s">
        <v>69</v>
      </c>
      <c r="BM13" s="856"/>
      <c r="BN13" s="849"/>
      <c r="BO13" s="867" t="s">
        <v>70</v>
      </c>
      <c r="BP13" s="867" t="s">
        <v>71</v>
      </c>
      <c r="BQ13" s="854"/>
    </row>
    <row r="14" spans="1:72" s="16" customFormat="1" ht="30" customHeight="1">
      <c r="A14" s="849"/>
      <c r="B14" s="849"/>
      <c r="C14" s="849"/>
      <c r="D14" s="849"/>
      <c r="E14" s="849"/>
      <c r="F14" s="849"/>
      <c r="G14" s="849"/>
      <c r="H14" s="856"/>
      <c r="I14" s="856"/>
      <c r="J14" s="856"/>
      <c r="K14" s="856"/>
      <c r="L14" s="868"/>
      <c r="M14" s="867" t="s">
        <v>9</v>
      </c>
      <c r="N14" s="851" t="s">
        <v>14</v>
      </c>
      <c r="O14" s="853"/>
      <c r="P14" s="856"/>
      <c r="Q14" s="856"/>
      <c r="R14" s="856"/>
      <c r="S14" s="856"/>
      <c r="T14" s="849"/>
      <c r="U14" s="868"/>
      <c r="V14" s="868"/>
      <c r="W14" s="856"/>
      <c r="X14" s="856"/>
      <c r="Y14" s="856"/>
      <c r="Z14" s="856"/>
      <c r="AA14" s="849"/>
      <c r="AB14" s="868"/>
      <c r="AC14" s="868"/>
      <c r="AD14" s="856"/>
      <c r="AE14" s="856"/>
      <c r="AF14" s="856"/>
      <c r="AG14" s="856"/>
      <c r="AH14" s="856"/>
      <c r="AI14" s="856"/>
      <c r="AJ14" s="856"/>
      <c r="AK14" s="856"/>
      <c r="AL14" s="856"/>
      <c r="AM14" s="849"/>
      <c r="AN14" s="868"/>
      <c r="AO14" s="868"/>
      <c r="AP14" s="856"/>
      <c r="AQ14" s="856"/>
      <c r="AR14" s="867" t="s">
        <v>9</v>
      </c>
      <c r="AS14" s="870" t="s">
        <v>72</v>
      </c>
      <c r="AT14" s="867" t="s">
        <v>9</v>
      </c>
      <c r="AU14" s="870" t="s">
        <v>72</v>
      </c>
      <c r="AV14" s="849"/>
      <c r="AW14" s="868"/>
      <c r="AX14" s="868"/>
      <c r="AY14" s="856"/>
      <c r="AZ14" s="856"/>
      <c r="BA14" s="867" t="s">
        <v>9</v>
      </c>
      <c r="BB14" s="870" t="s">
        <v>72</v>
      </c>
      <c r="BC14" s="867" t="s">
        <v>9</v>
      </c>
      <c r="BD14" s="870" t="s">
        <v>72</v>
      </c>
      <c r="BE14" s="849"/>
      <c r="BF14" s="868"/>
      <c r="BG14" s="868"/>
      <c r="BH14" s="856"/>
      <c r="BI14" s="856"/>
      <c r="BJ14" s="867" t="s">
        <v>9</v>
      </c>
      <c r="BK14" s="870" t="s">
        <v>72</v>
      </c>
      <c r="BL14" s="867" t="s">
        <v>9</v>
      </c>
      <c r="BM14" s="870" t="s">
        <v>72</v>
      </c>
      <c r="BN14" s="849"/>
      <c r="BO14" s="868"/>
      <c r="BP14" s="868"/>
      <c r="BQ14" s="854"/>
    </row>
    <row r="15" spans="1:72" s="16" customFormat="1" ht="70.5" customHeight="1">
      <c r="A15" s="850"/>
      <c r="B15" s="850"/>
      <c r="C15" s="850"/>
      <c r="D15" s="850"/>
      <c r="E15" s="850"/>
      <c r="F15" s="850"/>
      <c r="G15" s="850"/>
      <c r="H15" s="856"/>
      <c r="I15" s="856"/>
      <c r="J15" s="856"/>
      <c r="K15" s="856"/>
      <c r="L15" s="869"/>
      <c r="M15" s="869"/>
      <c r="N15" s="44" t="s">
        <v>70</v>
      </c>
      <c r="O15" s="44" t="s">
        <v>71</v>
      </c>
      <c r="P15" s="856"/>
      <c r="Q15" s="856"/>
      <c r="R15" s="856"/>
      <c r="S15" s="856"/>
      <c r="T15" s="850"/>
      <c r="U15" s="869"/>
      <c r="V15" s="869"/>
      <c r="W15" s="856"/>
      <c r="X15" s="856"/>
      <c r="Y15" s="856"/>
      <c r="Z15" s="856"/>
      <c r="AA15" s="850"/>
      <c r="AB15" s="869"/>
      <c r="AC15" s="869"/>
      <c r="AD15" s="856"/>
      <c r="AE15" s="856"/>
      <c r="AF15" s="856"/>
      <c r="AG15" s="856"/>
      <c r="AH15" s="856"/>
      <c r="AI15" s="856"/>
      <c r="AJ15" s="856"/>
      <c r="AK15" s="856"/>
      <c r="AL15" s="856"/>
      <c r="AM15" s="850"/>
      <c r="AN15" s="869"/>
      <c r="AO15" s="869"/>
      <c r="AP15" s="856"/>
      <c r="AQ15" s="856"/>
      <c r="AR15" s="869"/>
      <c r="AS15" s="871"/>
      <c r="AT15" s="869"/>
      <c r="AU15" s="871"/>
      <c r="AV15" s="850"/>
      <c r="AW15" s="869"/>
      <c r="AX15" s="869"/>
      <c r="AY15" s="856"/>
      <c r="AZ15" s="856"/>
      <c r="BA15" s="869"/>
      <c r="BB15" s="871"/>
      <c r="BC15" s="869"/>
      <c r="BD15" s="871"/>
      <c r="BE15" s="850"/>
      <c r="BF15" s="869"/>
      <c r="BG15" s="869"/>
      <c r="BH15" s="856"/>
      <c r="BI15" s="856"/>
      <c r="BJ15" s="869"/>
      <c r="BK15" s="871"/>
      <c r="BL15" s="869"/>
      <c r="BM15" s="871"/>
      <c r="BN15" s="850"/>
      <c r="BO15" s="869"/>
      <c r="BP15" s="869"/>
      <c r="BQ15" s="854"/>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73</v>
      </c>
      <c r="B18" s="20" t="s">
        <v>74</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32</v>
      </c>
      <c r="B19" s="22" t="s">
        <v>75</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76</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37</v>
      </c>
      <c r="B21" s="28" t="s">
        <v>34</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5" customHeight="1">
      <c r="A22" s="27" t="s">
        <v>35</v>
      </c>
      <c r="B22" s="28" t="s">
        <v>36</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33</v>
      </c>
      <c r="B23" s="30" t="s">
        <v>38</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46</v>
      </c>
      <c r="B24" s="30" t="s">
        <v>38</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 customHeight="1">
      <c r="A25" s="29" t="s">
        <v>40</v>
      </c>
      <c r="B25" s="31" t="s">
        <v>41</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25" customHeight="1">
      <c r="A26" s="27" t="s">
        <v>42</v>
      </c>
      <c r="B26" s="28" t="s">
        <v>43</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65" customHeight="1">
      <c r="A27" s="29" t="s">
        <v>33</v>
      </c>
      <c r="B27" s="30" t="s">
        <v>38</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40</v>
      </c>
      <c r="B28" s="31" t="s">
        <v>41</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44</v>
      </c>
      <c r="B29" s="28" t="s">
        <v>45</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33</v>
      </c>
      <c r="B30" s="30" t="s">
        <v>38</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5" customHeight="1">
      <c r="A31" s="29" t="s">
        <v>40</v>
      </c>
      <c r="B31" s="31" t="s">
        <v>41</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39</v>
      </c>
      <c r="B32" s="28" t="s">
        <v>47</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 customHeight="1">
      <c r="A33" s="27" t="s">
        <v>35</v>
      </c>
      <c r="B33" s="28" t="s">
        <v>36</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 customHeight="1">
      <c r="A34" s="29" t="s">
        <v>33</v>
      </c>
      <c r="B34" s="30" t="s">
        <v>38</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 customHeight="1">
      <c r="A35" s="29" t="s">
        <v>40</v>
      </c>
      <c r="B35" s="31" t="s">
        <v>41</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 customHeight="1">
      <c r="A36" s="27" t="s">
        <v>42</v>
      </c>
      <c r="B36" s="28" t="s">
        <v>43</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 customHeight="1">
      <c r="A37" s="29" t="s">
        <v>33</v>
      </c>
      <c r="B37" s="30" t="s">
        <v>38</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 customHeight="1">
      <c r="A38" s="29" t="s">
        <v>40</v>
      </c>
      <c r="B38" s="31" t="s">
        <v>41</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 customHeight="1">
      <c r="A39" s="27" t="s">
        <v>44</v>
      </c>
      <c r="B39" s="28" t="s">
        <v>45</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 customHeight="1">
      <c r="A40" s="29" t="s">
        <v>33</v>
      </c>
      <c r="B40" s="30" t="s">
        <v>38</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 customHeight="1">
      <c r="A41" s="29" t="s">
        <v>40</v>
      </c>
      <c r="B41" s="31" t="s">
        <v>41</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25" customHeight="1">
      <c r="A42" s="27" t="s">
        <v>77</v>
      </c>
      <c r="B42" s="28" t="s">
        <v>78</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 customHeight="1">
      <c r="A43" s="27" t="s">
        <v>35</v>
      </c>
      <c r="B43" s="28" t="s">
        <v>36</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 customHeight="1">
      <c r="A44" s="29" t="s">
        <v>33</v>
      </c>
      <c r="B44" s="30" t="s">
        <v>38</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40</v>
      </c>
      <c r="B45" s="31" t="s">
        <v>41</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 customHeight="1">
      <c r="A46" s="27" t="s">
        <v>42</v>
      </c>
      <c r="B46" s="28" t="s">
        <v>43</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 customHeight="1">
      <c r="A47" s="29" t="s">
        <v>33</v>
      </c>
      <c r="B47" s="30" t="s">
        <v>38</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40</v>
      </c>
      <c r="B48" s="31" t="s">
        <v>41</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 customHeight="1">
      <c r="A49" s="27" t="s">
        <v>44</v>
      </c>
      <c r="B49" s="28" t="s">
        <v>45</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 customHeight="1">
      <c r="A50" s="29" t="s">
        <v>33</v>
      </c>
      <c r="B50" s="30" t="s">
        <v>38</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 customHeight="1">
      <c r="A51" s="29" t="s">
        <v>40</v>
      </c>
      <c r="B51" s="31" t="s">
        <v>41</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 customHeight="1">
      <c r="A52" s="27" t="s">
        <v>79</v>
      </c>
      <c r="B52" s="28" t="s">
        <v>80</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35</v>
      </c>
      <c r="B53" s="28" t="s">
        <v>36</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33</v>
      </c>
      <c r="B54" s="30" t="s">
        <v>38</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40</v>
      </c>
      <c r="B55" s="31" t="s">
        <v>41</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42</v>
      </c>
      <c r="B56" s="28" t="s">
        <v>43</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33</v>
      </c>
      <c r="B57" s="30" t="s">
        <v>38</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40</v>
      </c>
      <c r="B58" s="31" t="s">
        <v>41</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 customHeight="1">
      <c r="A59" s="27" t="s">
        <v>44</v>
      </c>
      <c r="B59" s="28" t="s">
        <v>45</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 customHeight="1">
      <c r="A60" s="29" t="s">
        <v>33</v>
      </c>
      <c r="B60" s="30" t="s">
        <v>38</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 customHeight="1">
      <c r="A61" s="29" t="s">
        <v>40</v>
      </c>
      <c r="B61" s="31" t="s">
        <v>41</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48</v>
      </c>
      <c r="B62" s="22" t="s">
        <v>75</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40</v>
      </c>
      <c r="B63" s="26" t="s">
        <v>81</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25" hidden="1" customHeight="1">
      <c r="A64" s="21" t="s">
        <v>82</v>
      </c>
      <c r="B64" s="20" t="s">
        <v>83</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40</v>
      </c>
      <c r="B65" s="28" t="s">
        <v>84</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85</v>
      </c>
      <c r="B66" s="20" t="s">
        <v>86</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40</v>
      </c>
      <c r="B67" s="28" t="s">
        <v>84</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87</v>
      </c>
      <c r="B68" s="20" t="s">
        <v>74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88</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 customHeight="1">
      <c r="A71" s="68"/>
      <c r="B71" s="873" t="s">
        <v>100</v>
      </c>
      <c r="C71" s="873"/>
      <c r="D71" s="873"/>
      <c r="E71" s="873"/>
      <c r="F71" s="873"/>
      <c r="G71" s="873"/>
      <c r="H71" s="873"/>
      <c r="I71" s="873"/>
      <c r="J71" s="873"/>
      <c r="K71" s="873"/>
      <c r="L71" s="873"/>
      <c r="M71" s="873"/>
      <c r="N71" s="873"/>
      <c r="O71" s="873"/>
      <c r="P71" s="873"/>
      <c r="Q71" s="873"/>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873"/>
      <c r="BA71" s="873"/>
      <c r="BB71" s="873"/>
      <c r="BC71" s="873"/>
      <c r="BD71" s="873"/>
      <c r="BE71" s="873"/>
      <c r="BF71" s="873"/>
      <c r="BG71" s="873"/>
      <c r="BH71" s="873"/>
      <c r="BI71" s="873"/>
      <c r="BJ71" s="873"/>
      <c r="BK71" s="873"/>
      <c r="BL71" s="873"/>
      <c r="BM71" s="873"/>
      <c r="BN71" s="873"/>
      <c r="BO71" s="873"/>
      <c r="BP71" s="873"/>
      <c r="BQ71" s="873"/>
    </row>
    <row r="72" spans="1:69" s="14" customFormat="1" ht="44.45" customHeight="1">
      <c r="A72" s="68"/>
      <c r="B72" s="874" t="s">
        <v>101</v>
      </c>
      <c r="C72" s="875"/>
      <c r="D72" s="875"/>
      <c r="E72" s="875"/>
      <c r="F72" s="875"/>
      <c r="G72" s="875"/>
      <c r="H72" s="875"/>
      <c r="I72" s="875"/>
      <c r="J72" s="875"/>
      <c r="K72" s="875"/>
      <c r="L72" s="875"/>
      <c r="M72" s="875"/>
      <c r="N72" s="875"/>
      <c r="O72" s="875"/>
      <c r="P72" s="875"/>
      <c r="Q72" s="875"/>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875"/>
      <c r="BA72" s="875"/>
      <c r="BB72" s="875"/>
      <c r="BC72" s="875"/>
      <c r="BD72" s="875"/>
      <c r="BE72" s="875"/>
      <c r="BF72" s="875"/>
      <c r="BG72" s="875"/>
      <c r="BH72" s="875"/>
      <c r="BI72" s="875"/>
      <c r="BJ72" s="875"/>
      <c r="BK72" s="875"/>
      <c r="BL72" s="875"/>
      <c r="BM72" s="875"/>
      <c r="BN72" s="875"/>
      <c r="BO72" s="875"/>
      <c r="BP72" s="875"/>
      <c r="BQ72" s="875"/>
    </row>
    <row r="73" spans="1:69">
      <c r="A73" s="13"/>
      <c r="B73" s="42" t="s">
        <v>89</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872" t="s">
        <v>90</v>
      </c>
      <c r="C74" s="872"/>
      <c r="D74" s="872"/>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2"/>
      <c r="AQ74" s="872"/>
      <c r="AR74" s="872"/>
      <c r="AS74" s="872"/>
      <c r="AT74" s="872"/>
      <c r="AU74" s="872"/>
      <c r="AV74" s="872"/>
      <c r="AW74" s="872"/>
      <c r="AX74" s="872"/>
      <c r="AY74" s="872"/>
      <c r="AZ74" s="872"/>
      <c r="BA74" s="872"/>
      <c r="BB74" s="872"/>
      <c r="BC74" s="872"/>
      <c r="BD74" s="872"/>
      <c r="BE74" s="872"/>
      <c r="BF74" s="872"/>
      <c r="BG74" s="872"/>
      <c r="BH74" s="872"/>
      <c r="BI74" s="872"/>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pans="1:69">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row>
    <row r="82" spans="1:69">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row>
    <row r="83" spans="1:69">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row>
    <row r="84" spans="1:69">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row>
    <row r="85" spans="1:69">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row>
    <row r="86" spans="1:69">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row>
    <row r="87" spans="1:69">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row>
    <row r="88" spans="1:69">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row>
    <row r="89" spans="1:6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row>
    <row r="102" spans="1:69">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row>
    <row r="111" spans="1:69">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row>
    <row r="112" spans="1:69">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row>
    <row r="113" spans="1:69">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row>
    <row r="114" spans="1:69">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row>
    <row r="121" spans="1:69">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row>
    <row r="127" spans="1:69">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row>
    <row r="129" spans="1:6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row>
    <row r="134" spans="1:69">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row>
    <row r="145" spans="1:69">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row>
    <row r="147" spans="1:69">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row>
    <row r="151" spans="1:69">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row>
    <row r="152" spans="1:69">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row>
    <row r="153" spans="1:69">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row>
    <row r="154" spans="1:69">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row>
    <row r="155" spans="1:69">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row>
    <row r="156" spans="1:69">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row>
    <row r="157" spans="1:69">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row>
    <row r="158" spans="1:69">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row>
    <row r="159" spans="1:6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row>
    <row r="160" spans="1:69">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row>
    <row r="161" spans="1:69">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row>
    <row r="162" spans="1:69">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row>
    <row r="163" spans="1:69">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row>
    <row r="164" spans="1:69">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row>
    <row r="165" spans="1:69">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row>
    <row r="166" spans="1:69">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row>
    <row r="167" spans="1:69">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row>
    <row r="168" spans="1:69">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row>
    <row r="169" spans="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row>
    <row r="170" spans="1:69">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row>
    <row r="171" spans="1:69">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row>
    <row r="172" spans="1:69">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row>
    <row r="173" spans="1:69">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row>
    <row r="174" spans="1:69">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row>
    <row r="175" spans="1:69">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row>
    <row r="176" spans="1:69">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row>
    <row r="196" spans="1:69">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row>
    <row r="197" spans="1:69">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row>
    <row r="198" spans="1:69">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row>
    <row r="199" spans="1:6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row>
    <row r="200" spans="1:69">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row>
    <row r="201" spans="1:69">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row>
    <row r="202" spans="1:69">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row>
    <row r="203" spans="1:69">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row>
    <row r="204" spans="1:69">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row>
    <row r="205" spans="1:69">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row>
    <row r="206" spans="1:69">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row>
    <row r="207" spans="1:69">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row>
    <row r="208" spans="1:69">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row>
    <row r="209" spans="1:6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row>
    <row r="210" spans="1:69">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row>
    <row r="211" spans="1:69">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row>
    <row r="212" spans="1:69">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row>
    <row r="213" spans="1:69">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row>
    <row r="214" spans="1:69">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row>
    <row r="215" spans="1:69">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row>
    <row r="216" spans="1:69">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row>
    <row r="217" spans="1:69">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row>
    <row r="218" spans="1:69">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row>
    <row r="219" spans="1:6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row>
    <row r="220" spans="1:69">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row>
    <row r="221" spans="1:69">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row>
    <row r="222" spans="1:69">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row>
    <row r="223" spans="1:69">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row>
    <row r="224" spans="1:69">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row>
    <row r="225" spans="1:69">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row>
    <row r="226" spans="1:69">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row>
    <row r="228" spans="1:69">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row>
    <row r="229" spans="1:6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row>
    <row r="230" spans="1:69">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row>
    <row r="231" spans="1:69">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row>
    <row r="232" spans="1:69">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row>
    <row r="233" spans="1:69">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row>
    <row r="234" spans="1:69">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row>
    <row r="235" spans="1:69">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row>
    <row r="236" spans="1:69">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row>
    <row r="237" spans="1:69">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row>
    <row r="238" spans="1:69">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row>
    <row r="239" spans="1:6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row>
    <row r="240" spans="1:69">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row>
    <row r="241" spans="1:69">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row>
    <row r="242" spans="1:69">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row>
    <row r="243" spans="1:69">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row>
    <row r="244" spans="1:69">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row>
    <row r="245" spans="1:69">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row>
    <row r="246" spans="1:69">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row>
    <row r="247" spans="1:69">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row>
    <row r="248" spans="1:69">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row>
    <row r="249" spans="1:6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row>
    <row r="250" spans="1:69">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row>
    <row r="251" spans="1:69">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row>
    <row r="252" spans="1:69">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row>
    <row r="253" spans="1:69">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row>
    <row r="254" spans="1:69">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row>
    <row r="255" spans="1:69">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row>
    <row r="256" spans="1:69">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row>
    <row r="257" spans="1:69">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row>
    <row r="258" spans="1:69">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row>
    <row r="259" spans="1:6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row>
    <row r="260" spans="1:69">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row>
    <row r="261" spans="1:69">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row>
    <row r="262" spans="1:69">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row>
    <row r="263" spans="1:69">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row>
    <row r="264" spans="1:69">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row>
    <row r="265" spans="1:69">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row>
    <row r="266" spans="1:69">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row>
    <row r="267" spans="1:69">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row>
    <row r="268" spans="1:69">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row>
    <row r="269" spans="1: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row>
    <row r="270" spans="1:69">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row>
    <row r="271" spans="1:69">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row>
    <row r="272" spans="1:69">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row>
    <row r="273" spans="1:69">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row>
    <row r="274" spans="1:69">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row>
    <row r="275" spans="1:69">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row>
    <row r="276" spans="1:69">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row>
    <row r="277" spans="1:69">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row>
    <row r="278" spans="1:69">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row>
    <row r="279" spans="1:6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row>
    <row r="280" spans="1:69">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row>
    <row r="281" spans="1:69">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row>
    <row r="282" spans="1:69">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row>
    <row r="283" spans="1:69">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row>
    <row r="284" spans="1:69">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row>
    <row r="285" spans="1:69">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row>
    <row r="286" spans="1:69">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row>
    <row r="287" spans="1:69">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row>
    <row r="288" spans="1:69">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row>
    <row r="289" spans="1:6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row>
    <row r="290" spans="1:69">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row>
    <row r="291" spans="1:69">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row>
    <row r="292" spans="1:69">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row>
    <row r="293" spans="1:69">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row>
    <row r="294" spans="1:69">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row>
    <row r="295" spans="1:69">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row>
    <row r="296" spans="1:69">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row>
    <row r="297" spans="1:69">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row>
    <row r="298" spans="1:69">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row>
    <row r="299" spans="1:6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row>
    <row r="300" spans="1:69">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row>
    <row r="301" spans="1:69">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row>
    <row r="302" spans="1:69">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row>
    <row r="303" spans="1:69">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row>
    <row r="304" spans="1:69">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row>
    <row r="305" spans="1:69">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row>
    <row r="306" spans="1:69">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row>
    <row r="307" spans="1:69">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row>
    <row r="308" spans="1:69">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row>
    <row r="309" spans="1:6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row>
    <row r="310" spans="1:69">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row>
    <row r="311" spans="1:69">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row>
    <row r="312" spans="1:69">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row>
    <row r="313" spans="1:69">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row>
    <row r="314" spans="1:69">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row>
    <row r="315" spans="1:69">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row>
    <row r="316" spans="1:69">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row>
    <row r="317" spans="1:69">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row>
    <row r="318" spans="1:69">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row>
    <row r="319" spans="1:6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row>
    <row r="320" spans="1:69">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row>
    <row r="321" spans="1:69">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row>
    <row r="322" spans="1:69">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row>
    <row r="323" spans="1:69">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row>
    <row r="325" spans="1:69">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row>
    <row r="326" spans="1:69">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row>
    <row r="327" spans="1:69">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row>
    <row r="328" spans="1:69">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row>
    <row r="329" spans="1:6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row>
    <row r="330" spans="1:69">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row>
    <row r="331" spans="1:69">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row>
    <row r="332" spans="1:69">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row>
    <row r="333" spans="1:69">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row>
    <row r="334" spans="1:69">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row>
    <row r="335" spans="1:69">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row>
    <row r="336" spans="1:69">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row>
    <row r="337" spans="1:69">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row>
    <row r="338" spans="1:69">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row>
    <row r="339" spans="1:6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row>
    <row r="345" spans="1:69">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row>
    <row r="346" spans="1:69">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row>
    <row r="347" spans="1:69">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row>
    <row r="348" spans="1:69">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row>
    <row r="349" spans="1:6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row>
    <row r="350" spans="1:69">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row>
    <row r="351" spans="1:69">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row>
    <row r="352" spans="1:69">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row>
    <row r="353" spans="1:69">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row>
    <row r="354" spans="1:69">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row>
    <row r="355" spans="1:69">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row>
    <row r="356" spans="1:69">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row>
    <row r="357" spans="1:69">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row>
    <row r="358" spans="1:69">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row>
    <row r="359" spans="1:6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row>
    <row r="360" spans="1:69">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row>
  </sheetData>
  <mergeCells count="130">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 ref="AQ12:AQ15"/>
    <mergeCell ref="AR12:AU12"/>
    <mergeCell ref="AV12:AV15"/>
    <mergeCell ref="BB14:BB15"/>
    <mergeCell ref="BC14:BC15"/>
    <mergeCell ref="BD14:BD15"/>
    <mergeCell ref="AK13:AK15"/>
    <mergeCell ref="AL13:AL15"/>
    <mergeCell ref="AN13:AN15"/>
    <mergeCell ref="AO13:AO15"/>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Z19"/>
  <sheetViews>
    <sheetView zoomScale="85" zoomScaleNormal="85" workbookViewId="0">
      <selection activeCell="A2" sqref="A2:H2"/>
    </sheetView>
  </sheetViews>
  <sheetFormatPr defaultColWidth="9.125" defaultRowHeight="18.75"/>
  <cols>
    <col min="1" max="1" width="6" style="7" customWidth="1"/>
    <col min="2" max="2" width="41" style="77" customWidth="1"/>
    <col min="3" max="4" width="11.25" style="1" customWidth="1"/>
    <col min="5" max="5" width="13" style="1" customWidth="1"/>
    <col min="6" max="7" width="11.25" style="1" customWidth="1"/>
    <col min="8" max="8" width="13" style="1" customWidth="1"/>
    <col min="9" max="10" width="11.25" style="1" customWidth="1"/>
    <col min="11" max="11" width="13" style="1" customWidth="1"/>
    <col min="12" max="13" width="11.25" style="1" customWidth="1"/>
    <col min="14" max="14" width="13" style="1" customWidth="1"/>
    <col min="15" max="16" width="11.25" style="1" customWidth="1"/>
    <col min="17" max="17" width="13" style="1" customWidth="1"/>
    <col min="18" max="19" width="11.25" style="1" customWidth="1"/>
    <col min="20" max="20" width="13" style="1" customWidth="1"/>
    <col min="21" max="21" width="11.25" style="1" customWidth="1"/>
    <col min="22" max="16384" width="9.125" style="1"/>
  </cols>
  <sheetData>
    <row r="1" spans="1:26" ht="33" customHeight="1">
      <c r="A1" s="814" t="s">
        <v>102</v>
      </c>
      <c r="B1" s="814"/>
      <c r="C1" s="814"/>
      <c r="D1" s="814"/>
      <c r="E1" s="814"/>
      <c r="F1" s="814"/>
      <c r="G1" s="814"/>
      <c r="H1" s="814"/>
      <c r="I1" s="13"/>
      <c r="J1" s="13"/>
      <c r="K1" s="13"/>
      <c r="L1" s="13"/>
      <c r="M1" s="877" t="s">
        <v>0</v>
      </c>
      <c r="N1" s="877"/>
      <c r="O1" s="877"/>
      <c r="P1" s="877"/>
      <c r="Q1" s="877"/>
      <c r="R1" s="877"/>
      <c r="S1" s="877"/>
      <c r="T1" s="877"/>
      <c r="U1" s="877"/>
      <c r="V1" s="2"/>
    </row>
    <row r="2" spans="1:26" ht="31.5" customHeight="1">
      <c r="A2" s="842" t="s">
        <v>1</v>
      </c>
      <c r="B2" s="842"/>
      <c r="C2" s="842"/>
      <c r="D2" s="842"/>
      <c r="E2" s="842"/>
      <c r="F2" s="842"/>
      <c r="G2" s="842"/>
      <c r="H2" s="842"/>
      <c r="I2" s="13"/>
      <c r="J2" s="13"/>
      <c r="K2" s="13"/>
      <c r="L2" s="13"/>
      <c r="M2" s="878" t="s">
        <v>49</v>
      </c>
      <c r="N2" s="878"/>
      <c r="O2" s="878"/>
      <c r="P2" s="878"/>
      <c r="Q2" s="878"/>
      <c r="R2" s="878"/>
      <c r="S2" s="878"/>
      <c r="T2" s="878"/>
      <c r="U2" s="878"/>
      <c r="V2" s="4"/>
    </row>
    <row r="3" spans="1:26" s="69" customFormat="1" ht="27.75" customHeight="1">
      <c r="A3" s="879" t="s">
        <v>50</v>
      </c>
      <c r="B3" s="879"/>
      <c r="C3" s="879"/>
      <c r="D3" s="879"/>
      <c r="E3" s="879"/>
      <c r="F3" s="879"/>
      <c r="G3" s="879"/>
      <c r="H3" s="879"/>
      <c r="I3" s="879"/>
      <c r="J3" s="879"/>
      <c r="K3" s="879"/>
      <c r="L3" s="879"/>
      <c r="M3" s="879"/>
      <c r="N3" s="879"/>
      <c r="O3" s="879"/>
      <c r="P3" s="879"/>
      <c r="Q3" s="879"/>
      <c r="R3" s="879"/>
      <c r="S3" s="879"/>
      <c r="T3" s="879"/>
      <c r="U3" s="879"/>
    </row>
    <row r="4" spans="1:26" s="70" customFormat="1" ht="31.9" customHeight="1">
      <c r="A4" s="876" t="s">
        <v>103</v>
      </c>
      <c r="B4" s="876"/>
      <c r="C4" s="876"/>
      <c r="D4" s="876"/>
      <c r="E4" s="876"/>
      <c r="F4" s="876"/>
      <c r="G4" s="876"/>
      <c r="H4" s="876"/>
      <c r="I4" s="876"/>
      <c r="J4" s="876"/>
      <c r="K4" s="876"/>
      <c r="L4" s="876"/>
      <c r="M4" s="876"/>
      <c r="N4" s="876"/>
      <c r="O4" s="876"/>
      <c r="P4" s="876"/>
      <c r="Q4" s="876"/>
      <c r="R4" s="876"/>
      <c r="S4" s="876"/>
      <c r="T4" s="876"/>
      <c r="U4" s="876"/>
    </row>
    <row r="5" spans="1:26" s="69" customFormat="1" ht="24.75" customHeight="1">
      <c r="A5" s="880" t="s">
        <v>3</v>
      </c>
      <c r="B5" s="880"/>
      <c r="C5" s="880"/>
      <c r="D5" s="880"/>
      <c r="E5" s="880"/>
      <c r="F5" s="880"/>
      <c r="G5" s="880"/>
      <c r="H5" s="880"/>
      <c r="I5" s="880"/>
      <c r="J5" s="880"/>
      <c r="K5" s="880"/>
      <c r="L5" s="880"/>
      <c r="M5" s="880"/>
      <c r="N5" s="880"/>
      <c r="O5" s="880"/>
      <c r="P5" s="880"/>
      <c r="Q5" s="880"/>
      <c r="R5" s="880"/>
      <c r="S5" s="880"/>
      <c r="T5" s="880"/>
      <c r="U5" s="880"/>
    </row>
    <row r="6" spans="1:26" s="7" customFormat="1" ht="31.9" customHeight="1">
      <c r="A6" s="881" t="s">
        <v>4</v>
      </c>
      <c r="B6" s="881" t="s">
        <v>104</v>
      </c>
      <c r="C6" s="884" t="s">
        <v>5</v>
      </c>
      <c r="D6" s="885"/>
      <c r="E6" s="885"/>
      <c r="F6" s="885"/>
      <c r="G6" s="885"/>
      <c r="H6" s="885"/>
      <c r="I6" s="885"/>
      <c r="J6" s="885"/>
      <c r="K6" s="886"/>
      <c r="L6" s="887" t="s">
        <v>105</v>
      </c>
      <c r="M6" s="888"/>
      <c r="N6" s="889"/>
      <c r="O6" s="887" t="s">
        <v>6</v>
      </c>
      <c r="P6" s="888"/>
      <c r="Q6" s="889"/>
      <c r="R6" s="887" t="s">
        <v>106</v>
      </c>
      <c r="S6" s="888"/>
      <c r="T6" s="889"/>
      <c r="U6" s="881" t="s">
        <v>7</v>
      </c>
      <c r="W6" s="71"/>
      <c r="X6" s="6"/>
      <c r="Y6" s="6"/>
      <c r="Z6" s="6"/>
    </row>
    <row r="7" spans="1:26" s="7" customFormat="1" ht="75" customHeight="1">
      <c r="A7" s="882"/>
      <c r="B7" s="882"/>
      <c r="C7" s="884" t="s">
        <v>8</v>
      </c>
      <c r="D7" s="885"/>
      <c r="E7" s="886"/>
      <c r="F7" s="884" t="s">
        <v>107</v>
      </c>
      <c r="G7" s="885"/>
      <c r="H7" s="886"/>
      <c r="I7" s="884" t="s">
        <v>108</v>
      </c>
      <c r="J7" s="885"/>
      <c r="K7" s="886"/>
      <c r="L7" s="890"/>
      <c r="M7" s="891"/>
      <c r="N7" s="892"/>
      <c r="O7" s="890"/>
      <c r="P7" s="891"/>
      <c r="Q7" s="892"/>
      <c r="R7" s="890"/>
      <c r="S7" s="891"/>
      <c r="T7" s="892"/>
      <c r="U7" s="882"/>
      <c r="W7" s="71"/>
      <c r="X7" s="6"/>
      <c r="Y7" s="6"/>
      <c r="Z7" s="6"/>
    </row>
    <row r="8" spans="1:26" s="7" customFormat="1" ht="28.9" customHeight="1">
      <c r="A8" s="882"/>
      <c r="B8" s="882"/>
      <c r="C8" s="881" t="s">
        <v>9</v>
      </c>
      <c r="D8" s="893" t="s">
        <v>14</v>
      </c>
      <c r="E8" s="894"/>
      <c r="F8" s="881" t="s">
        <v>9</v>
      </c>
      <c r="G8" s="893" t="s">
        <v>14</v>
      </c>
      <c r="H8" s="894"/>
      <c r="I8" s="881" t="s">
        <v>9</v>
      </c>
      <c r="J8" s="893" t="s">
        <v>14</v>
      </c>
      <c r="K8" s="894"/>
      <c r="L8" s="881" t="s">
        <v>9</v>
      </c>
      <c r="M8" s="893" t="s">
        <v>14</v>
      </c>
      <c r="N8" s="894"/>
      <c r="O8" s="881" t="s">
        <v>9</v>
      </c>
      <c r="P8" s="893" t="s">
        <v>14</v>
      </c>
      <c r="Q8" s="894"/>
      <c r="R8" s="881" t="s">
        <v>9</v>
      </c>
      <c r="S8" s="893" t="s">
        <v>14</v>
      </c>
      <c r="T8" s="894"/>
      <c r="U8" s="882"/>
      <c r="W8" s="71"/>
      <c r="X8" s="6"/>
      <c r="Y8" s="72"/>
      <c r="Z8" s="72"/>
    </row>
    <row r="9" spans="1:26" s="7" customFormat="1" ht="52.15" customHeight="1">
      <c r="A9" s="883"/>
      <c r="B9" s="883"/>
      <c r="C9" s="883"/>
      <c r="D9" s="8" t="s">
        <v>69</v>
      </c>
      <c r="E9" s="8" t="s">
        <v>109</v>
      </c>
      <c r="F9" s="883"/>
      <c r="G9" s="8" t="s">
        <v>69</v>
      </c>
      <c r="H9" s="8" t="s">
        <v>109</v>
      </c>
      <c r="I9" s="883"/>
      <c r="J9" s="8" t="s">
        <v>69</v>
      </c>
      <c r="K9" s="8" t="s">
        <v>109</v>
      </c>
      <c r="L9" s="883"/>
      <c r="M9" s="8" t="s">
        <v>69</v>
      </c>
      <c r="N9" s="8" t="s">
        <v>109</v>
      </c>
      <c r="O9" s="883"/>
      <c r="P9" s="8" t="s">
        <v>69</v>
      </c>
      <c r="Q9" s="8" t="s">
        <v>109</v>
      </c>
      <c r="R9" s="883"/>
      <c r="S9" s="8" t="s">
        <v>69</v>
      </c>
      <c r="T9" s="8" t="s">
        <v>109</v>
      </c>
      <c r="U9" s="883"/>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73" t="s">
        <v>110</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73" t="s">
        <v>110</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 customHeight="1">
      <c r="A14" s="9" t="s">
        <v>40</v>
      </c>
      <c r="B14" s="11" t="s">
        <v>40</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19</v>
      </c>
      <c r="C17" s="76"/>
      <c r="D17" s="76"/>
      <c r="E17" s="76"/>
      <c r="F17" s="76"/>
      <c r="G17" s="76"/>
      <c r="H17" s="76"/>
      <c r="I17" s="76"/>
      <c r="J17" s="76"/>
      <c r="K17" s="76"/>
      <c r="L17" s="76"/>
      <c r="M17" s="76"/>
      <c r="N17" s="76"/>
      <c r="O17" s="76"/>
      <c r="P17" s="76"/>
      <c r="Q17" s="76"/>
      <c r="R17" s="76"/>
      <c r="S17" s="76"/>
      <c r="T17" s="76"/>
    </row>
    <row r="18" spans="2:21">
      <c r="B18" s="895" t="s">
        <v>20</v>
      </c>
      <c r="C18" s="895"/>
      <c r="D18" s="895"/>
      <c r="E18" s="895"/>
      <c r="F18" s="895"/>
      <c r="G18" s="895"/>
      <c r="H18" s="895"/>
      <c r="I18" s="895"/>
      <c r="J18" s="895"/>
      <c r="K18" s="895"/>
      <c r="L18" s="895"/>
      <c r="M18" s="895"/>
      <c r="N18" s="895"/>
      <c r="O18" s="895"/>
      <c r="P18" s="895"/>
      <c r="Q18" s="895"/>
      <c r="R18" s="895"/>
      <c r="S18" s="895"/>
      <c r="T18" s="895"/>
    </row>
    <row r="19" spans="2:21">
      <c r="B19" s="872" t="s">
        <v>21</v>
      </c>
      <c r="C19" s="872"/>
      <c r="D19" s="872"/>
      <c r="E19" s="872"/>
      <c r="F19" s="872"/>
      <c r="G19" s="872"/>
      <c r="H19" s="872"/>
      <c r="I19" s="872"/>
      <c r="J19" s="872"/>
      <c r="K19" s="872"/>
      <c r="L19" s="872"/>
      <c r="M19" s="872"/>
      <c r="N19" s="872"/>
      <c r="O19" s="872"/>
      <c r="P19" s="872"/>
      <c r="Q19" s="872"/>
      <c r="R19" s="872"/>
      <c r="S19" s="872"/>
      <c r="T19" s="872"/>
      <c r="U19" s="872"/>
    </row>
  </sheetData>
  <mergeCells count="31">
    <mergeCell ref="J8:K8"/>
    <mergeCell ref="B18:T18"/>
    <mergeCell ref="B19:U19"/>
    <mergeCell ref="L8:L9"/>
    <mergeCell ref="M8:N8"/>
    <mergeCell ref="O8:O9"/>
    <mergeCell ref="P8:Q8"/>
    <mergeCell ref="R8:R9"/>
    <mergeCell ref="S8:T8"/>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A4:U4"/>
    <mergeCell ref="A1:H1"/>
    <mergeCell ref="M1:U1"/>
    <mergeCell ref="A2:H2"/>
    <mergeCell ref="M2:U2"/>
    <mergeCell ref="A3:U3"/>
  </mergeCells>
  <printOptions horizontalCentered="1"/>
  <pageMargins left="0.35433070866141736" right="0.39370078740157483" top="0.74803149606299213" bottom="0.86614173228346458" header="0.51181102362204722" footer="0.51181102362204722"/>
  <pageSetup paperSize="9" scale="51" fitToHeight="0" orientation="landscape" r:id="rId1"/>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W371"/>
  <sheetViews>
    <sheetView zoomScale="85" zoomScaleNormal="85" workbookViewId="0">
      <selection sqref="A1:N1"/>
    </sheetView>
  </sheetViews>
  <sheetFormatPr defaultColWidth="9.125" defaultRowHeight="12.75"/>
  <cols>
    <col min="1" max="1" width="5.125" style="123" customWidth="1"/>
    <col min="2" max="2" width="33.25" style="124" customWidth="1"/>
    <col min="3" max="4" width="7.25" style="125" customWidth="1"/>
    <col min="5" max="5" width="8.25" style="125" customWidth="1"/>
    <col min="6" max="6" width="10.125" style="78" customWidth="1"/>
    <col min="7" max="7" width="11" style="78" customWidth="1"/>
    <col min="8" max="8" width="8.75" style="78" customWidth="1"/>
    <col min="9" max="9" width="10.125" style="78" customWidth="1"/>
    <col min="10" max="10" width="11" style="78" customWidth="1"/>
    <col min="11" max="14" width="8.75" style="78" customWidth="1"/>
    <col min="15" max="16" width="9.25" style="78" hidden="1" customWidth="1"/>
    <col min="17" max="17" width="10.75" style="78" hidden="1" customWidth="1"/>
    <col min="18" max="18" width="10.25" style="78" hidden="1" customWidth="1"/>
    <col min="19" max="30" width="10.25" style="78" customWidth="1"/>
    <col min="31" max="31" width="9.25" style="78" customWidth="1"/>
    <col min="32" max="32" width="11" style="78" customWidth="1"/>
    <col min="33" max="33" width="11.25" style="78" customWidth="1"/>
    <col min="34" max="34" width="9.25" style="78" hidden="1" customWidth="1"/>
    <col min="35" max="35" width="11" style="78" hidden="1" customWidth="1"/>
    <col min="36" max="36" width="11.25" style="78" hidden="1" customWidth="1"/>
    <col min="37" max="37" width="11.25" style="78" customWidth="1"/>
    <col min="38" max="16384" width="9.125" style="79"/>
  </cols>
  <sheetData>
    <row r="1" spans="1:43" ht="25.5" customHeight="1">
      <c r="A1" s="814" t="s">
        <v>111</v>
      </c>
      <c r="B1" s="814"/>
      <c r="C1" s="814"/>
      <c r="D1" s="814"/>
      <c r="E1" s="814"/>
      <c r="F1" s="814"/>
      <c r="G1" s="814"/>
      <c r="H1" s="814"/>
      <c r="I1" s="814"/>
      <c r="J1" s="814"/>
      <c r="K1" s="814"/>
      <c r="L1" s="814"/>
      <c r="M1" s="814"/>
      <c r="N1" s="814"/>
      <c r="AA1" s="877" t="s">
        <v>0</v>
      </c>
      <c r="AB1" s="877"/>
      <c r="AC1" s="877"/>
      <c r="AD1" s="877"/>
      <c r="AE1" s="877"/>
      <c r="AF1" s="877"/>
      <c r="AG1" s="877"/>
      <c r="AH1" s="877"/>
      <c r="AI1" s="877"/>
      <c r="AJ1" s="877"/>
      <c r="AK1" s="877"/>
    </row>
    <row r="2" spans="1:43" ht="31.5" customHeight="1">
      <c r="A2" s="842" t="s">
        <v>1</v>
      </c>
      <c r="B2" s="842"/>
      <c r="C2" s="842"/>
      <c r="D2" s="842"/>
      <c r="E2" s="842"/>
      <c r="F2" s="842"/>
      <c r="G2" s="842"/>
      <c r="H2" s="842"/>
      <c r="I2" s="842"/>
      <c r="J2" s="842"/>
      <c r="K2" s="842"/>
      <c r="L2" s="842"/>
      <c r="M2" s="842"/>
      <c r="N2" s="842"/>
      <c r="AA2" s="878" t="s">
        <v>49</v>
      </c>
      <c r="AB2" s="878"/>
      <c r="AC2" s="878"/>
      <c r="AD2" s="878"/>
      <c r="AE2" s="878"/>
      <c r="AF2" s="878"/>
      <c r="AG2" s="878"/>
      <c r="AH2" s="878"/>
      <c r="AI2" s="878"/>
      <c r="AJ2" s="878"/>
      <c r="AK2" s="878"/>
    </row>
    <row r="3" spans="1:43" s="81" customFormat="1" ht="22.5" customHeight="1">
      <c r="A3" s="896" t="s">
        <v>50</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0"/>
      <c r="AM3" s="80"/>
      <c r="AN3" s="80"/>
      <c r="AO3" s="80"/>
      <c r="AP3" s="80"/>
    </row>
    <row r="4" spans="1:43" s="82" customFormat="1" ht="31.5" customHeight="1">
      <c r="A4" s="814" t="s">
        <v>112</v>
      </c>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905" t="s">
        <v>22</v>
      </c>
      <c r="B6" s="905" t="s">
        <v>23</v>
      </c>
      <c r="C6" s="905" t="s">
        <v>24</v>
      </c>
      <c r="D6" s="905" t="s">
        <v>25</v>
      </c>
      <c r="E6" s="905" t="s">
        <v>26</v>
      </c>
      <c r="F6" s="899" t="s">
        <v>113</v>
      </c>
      <c r="G6" s="900"/>
      <c r="H6" s="901"/>
      <c r="I6" s="899" t="s">
        <v>114</v>
      </c>
      <c r="J6" s="900"/>
      <c r="K6" s="900"/>
      <c r="L6" s="900"/>
      <c r="M6" s="900"/>
      <c r="N6" s="901"/>
      <c r="O6" s="899" t="s">
        <v>115</v>
      </c>
      <c r="P6" s="900"/>
      <c r="Q6" s="901"/>
      <c r="R6" s="905"/>
      <c r="S6" s="907" t="s">
        <v>55</v>
      </c>
      <c r="T6" s="908"/>
      <c r="U6" s="907" t="s">
        <v>56</v>
      </c>
      <c r="V6" s="914"/>
      <c r="W6" s="907" t="s">
        <v>116</v>
      </c>
      <c r="X6" s="914"/>
      <c r="Y6" s="908"/>
      <c r="Z6" s="907" t="s">
        <v>117</v>
      </c>
      <c r="AA6" s="914"/>
      <c r="AB6" s="908"/>
      <c r="AC6" s="907" t="s">
        <v>118</v>
      </c>
      <c r="AD6" s="908"/>
      <c r="AE6" s="907" t="s">
        <v>28</v>
      </c>
      <c r="AF6" s="914"/>
      <c r="AG6" s="908"/>
      <c r="AH6" s="907" t="s">
        <v>119</v>
      </c>
      <c r="AI6" s="914"/>
      <c r="AJ6" s="908"/>
      <c r="AK6" s="905" t="s">
        <v>7</v>
      </c>
    </row>
    <row r="7" spans="1:43" s="88" customFormat="1" ht="38.25" customHeight="1">
      <c r="A7" s="911"/>
      <c r="B7" s="911"/>
      <c r="C7" s="911"/>
      <c r="D7" s="911"/>
      <c r="E7" s="911"/>
      <c r="F7" s="902"/>
      <c r="G7" s="903"/>
      <c r="H7" s="904"/>
      <c r="I7" s="902"/>
      <c r="J7" s="903"/>
      <c r="K7" s="903"/>
      <c r="L7" s="903"/>
      <c r="M7" s="903"/>
      <c r="N7" s="904"/>
      <c r="O7" s="902"/>
      <c r="P7" s="903"/>
      <c r="Q7" s="904"/>
      <c r="R7" s="906"/>
      <c r="S7" s="909"/>
      <c r="T7" s="910"/>
      <c r="U7" s="909"/>
      <c r="V7" s="915"/>
      <c r="W7" s="909"/>
      <c r="X7" s="915"/>
      <c r="Y7" s="910"/>
      <c r="Z7" s="909"/>
      <c r="AA7" s="915"/>
      <c r="AB7" s="910"/>
      <c r="AC7" s="909"/>
      <c r="AD7" s="910"/>
      <c r="AE7" s="909"/>
      <c r="AF7" s="915"/>
      <c r="AG7" s="910"/>
      <c r="AH7" s="909"/>
      <c r="AI7" s="915"/>
      <c r="AJ7" s="910"/>
      <c r="AK7" s="911"/>
    </row>
    <row r="8" spans="1:43" s="88" customFormat="1" ht="27" customHeight="1">
      <c r="A8" s="911"/>
      <c r="B8" s="911"/>
      <c r="C8" s="911"/>
      <c r="D8" s="911"/>
      <c r="E8" s="911"/>
      <c r="F8" s="897" t="s">
        <v>120</v>
      </c>
      <c r="G8" s="897" t="s">
        <v>30</v>
      </c>
      <c r="H8" s="870" t="s">
        <v>121</v>
      </c>
      <c r="I8" s="897" t="s">
        <v>120</v>
      </c>
      <c r="J8" s="897" t="s">
        <v>30</v>
      </c>
      <c r="K8" s="916" t="s">
        <v>121</v>
      </c>
      <c r="L8" s="917"/>
      <c r="M8" s="917"/>
      <c r="N8" s="918"/>
      <c r="O8" s="897" t="s">
        <v>120</v>
      </c>
      <c r="P8" s="897" t="s">
        <v>30</v>
      </c>
      <c r="Q8" s="870" t="s">
        <v>122</v>
      </c>
      <c r="R8" s="870" t="s">
        <v>123</v>
      </c>
      <c r="S8" s="897" t="s">
        <v>9</v>
      </c>
      <c r="T8" s="897" t="s">
        <v>122</v>
      </c>
      <c r="U8" s="924" t="s">
        <v>9</v>
      </c>
      <c r="V8" s="897" t="s">
        <v>122</v>
      </c>
      <c r="W8" s="897" t="s">
        <v>31</v>
      </c>
      <c r="X8" s="916" t="s">
        <v>14</v>
      </c>
      <c r="Y8" s="918"/>
      <c r="Z8" s="897" t="s">
        <v>9</v>
      </c>
      <c r="AA8" s="922" t="s">
        <v>122</v>
      </c>
      <c r="AB8" s="923"/>
      <c r="AC8" s="897" t="s">
        <v>9</v>
      </c>
      <c r="AD8" s="870" t="s">
        <v>122</v>
      </c>
      <c r="AE8" s="905" t="s">
        <v>31</v>
      </c>
      <c r="AF8" s="912" t="s">
        <v>122</v>
      </c>
      <c r="AG8" s="913"/>
      <c r="AH8" s="905" t="s">
        <v>31</v>
      </c>
      <c r="AI8" s="912" t="s">
        <v>122</v>
      </c>
      <c r="AJ8" s="913"/>
      <c r="AK8" s="911"/>
    </row>
    <row r="9" spans="1:43" s="88" customFormat="1" ht="121.5" customHeight="1">
      <c r="A9" s="906"/>
      <c r="B9" s="906"/>
      <c r="C9" s="906"/>
      <c r="D9" s="906"/>
      <c r="E9" s="906"/>
      <c r="F9" s="898"/>
      <c r="G9" s="898"/>
      <c r="H9" s="871"/>
      <c r="I9" s="898"/>
      <c r="J9" s="898"/>
      <c r="K9" s="89" t="s">
        <v>9</v>
      </c>
      <c r="L9" s="89" t="s">
        <v>124</v>
      </c>
      <c r="M9" s="89" t="s">
        <v>125</v>
      </c>
      <c r="N9" s="89" t="s">
        <v>126</v>
      </c>
      <c r="O9" s="898"/>
      <c r="P9" s="898"/>
      <c r="Q9" s="871"/>
      <c r="R9" s="871"/>
      <c r="S9" s="898"/>
      <c r="T9" s="898"/>
      <c r="U9" s="924"/>
      <c r="V9" s="898"/>
      <c r="W9" s="898"/>
      <c r="X9" s="90" t="s">
        <v>68</v>
      </c>
      <c r="Y9" s="90" t="s">
        <v>69</v>
      </c>
      <c r="Z9" s="898"/>
      <c r="AA9" s="91" t="s">
        <v>9</v>
      </c>
      <c r="AB9" s="89" t="s">
        <v>127</v>
      </c>
      <c r="AC9" s="898"/>
      <c r="AD9" s="871"/>
      <c r="AE9" s="906"/>
      <c r="AF9" s="92" t="s">
        <v>9</v>
      </c>
      <c r="AG9" s="93" t="s">
        <v>128</v>
      </c>
      <c r="AH9" s="906"/>
      <c r="AI9" s="92" t="s">
        <v>9</v>
      </c>
      <c r="AJ9" s="93" t="s">
        <v>128</v>
      </c>
      <c r="AK9" s="906"/>
      <c r="AN9" s="919"/>
      <c r="AO9" s="919"/>
      <c r="AP9" s="919"/>
      <c r="AQ9" s="919"/>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920"/>
      <c r="AO10" s="920"/>
      <c r="AP10" s="920"/>
      <c r="AQ10" s="920"/>
    </row>
    <row r="11" spans="1:43" ht="32.25" customHeight="1">
      <c r="A11" s="96"/>
      <c r="B11" s="97" t="s">
        <v>13</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921"/>
      <c r="AO11" s="100"/>
      <c r="AP11" s="100"/>
      <c r="AQ11" s="100"/>
    </row>
    <row r="12" spans="1:43" s="104" customFormat="1" ht="39" customHeight="1">
      <c r="A12" s="101" t="s">
        <v>32</v>
      </c>
      <c r="B12" s="102" t="s">
        <v>110</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129</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40</v>
      </c>
      <c r="B14" s="107" t="s">
        <v>40</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39</v>
      </c>
      <c r="B15" s="102" t="s">
        <v>130</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33</v>
      </c>
      <c r="B16" s="108" t="s">
        <v>38</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40</v>
      </c>
      <c r="B17" s="107" t="s">
        <v>41</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77</v>
      </c>
      <c r="B18" s="102" t="s">
        <v>131</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33</v>
      </c>
      <c r="B19" s="108" t="s">
        <v>38</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40</v>
      </c>
      <c r="B20" s="107" t="s">
        <v>41</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5" customHeight="1">
      <c r="A21" s="105" t="s">
        <v>79</v>
      </c>
      <c r="B21" s="102" t="s">
        <v>132</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33</v>
      </c>
      <c r="B22" s="108" t="s">
        <v>38</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40</v>
      </c>
      <c r="B23" s="107" t="s">
        <v>41</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133</v>
      </c>
      <c r="B24" s="102" t="s">
        <v>134</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33</v>
      </c>
      <c r="B25" s="108" t="s">
        <v>38</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40</v>
      </c>
      <c r="B26" s="107" t="s">
        <v>41</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48</v>
      </c>
      <c r="B27" s="102" t="s">
        <v>110</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81</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135</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136</v>
      </c>
      <c r="B30" s="110" t="s">
        <v>137</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81</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138</v>
      </c>
      <c r="B32" s="110" t="s">
        <v>139</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81</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138</v>
      </c>
      <c r="B34" s="102" t="s">
        <v>140</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81</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25"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19</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895" t="s">
        <v>20</v>
      </c>
      <c r="C39" s="895"/>
      <c r="D39" s="895"/>
      <c r="E39" s="895"/>
      <c r="F39" s="895"/>
      <c r="G39" s="895"/>
      <c r="H39" s="895"/>
      <c r="I39" s="895"/>
      <c r="J39" s="895"/>
      <c r="K39" s="895"/>
      <c r="L39" s="895"/>
      <c r="M39" s="895"/>
      <c r="N39" s="895"/>
      <c r="O39" s="895"/>
      <c r="P39" s="895"/>
      <c r="Q39" s="895"/>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7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7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7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7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7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7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7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7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7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7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7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7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7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7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7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7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7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7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7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7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7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7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7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7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7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7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7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7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7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7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7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7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7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7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7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7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7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7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7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7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7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7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7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7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7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7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7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7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7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7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7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7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7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7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7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7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7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7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7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7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7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7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7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7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7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7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7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7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7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7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7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7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7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7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7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7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7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7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7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7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7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7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7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7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7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7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7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7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7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7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7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7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7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7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7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7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7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7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7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7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7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7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7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7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7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7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7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7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7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7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7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7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7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7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7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7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7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7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7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7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7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7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7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7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7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7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7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7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7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7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7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7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7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7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7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7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7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7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7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7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7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7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7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7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7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7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7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7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7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7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7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7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7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7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7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7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7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7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7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7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7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7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7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7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7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7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7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7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7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7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7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7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7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7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7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7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7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7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7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7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7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7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7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7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7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7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7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7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7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7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7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7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7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7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7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7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7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7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7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7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7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7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7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7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7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7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7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7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7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7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7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7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7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7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7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7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7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7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7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7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7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7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7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7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7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7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7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7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7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7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7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7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7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7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7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7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7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7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7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7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7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7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7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7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7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7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7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7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7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7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7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7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7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7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7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7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7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7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7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7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7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7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7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7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7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7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7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7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7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7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7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7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7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7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7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7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7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7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7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7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7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7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7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7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7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7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7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7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7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7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7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7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7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7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7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7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7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7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7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7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7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7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7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7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7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7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7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7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7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7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7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7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7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7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7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7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7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7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7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7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7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7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 ref="J8:J9"/>
    <mergeCell ref="Z6:AB7"/>
    <mergeCell ref="AC6:AD7"/>
    <mergeCell ref="AE6:AG7"/>
    <mergeCell ref="AH6:AJ7"/>
    <mergeCell ref="W6:Y7"/>
    <mergeCell ref="U6:V7"/>
    <mergeCell ref="Z8:Z9"/>
    <mergeCell ref="K8:N8"/>
    <mergeCell ref="O8:O9"/>
    <mergeCell ref="P8:P9"/>
    <mergeCell ref="Q8:Q9"/>
    <mergeCell ref="R8:R9"/>
    <mergeCell ref="S8:S9"/>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A1:N1"/>
    <mergeCell ref="AA1:AK1"/>
    <mergeCell ref="A2:N2"/>
    <mergeCell ref="AA2:AK2"/>
    <mergeCell ref="A3:AK3"/>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C375"/>
  <sheetViews>
    <sheetView zoomScale="85" zoomScaleNormal="85" workbookViewId="0">
      <selection activeCell="A2" sqref="A2:H2"/>
    </sheetView>
  </sheetViews>
  <sheetFormatPr defaultColWidth="9.125" defaultRowHeight="18.75"/>
  <cols>
    <col min="1" max="1" width="5.125" style="39" customWidth="1"/>
    <col min="2" max="2" width="22.25" style="40" customWidth="1"/>
    <col min="3" max="3" width="14.875" style="43" customWidth="1"/>
    <col min="4" max="12" width="14.875" style="3" customWidth="1"/>
    <col min="13" max="14" width="17.25" style="3" hidden="1" customWidth="1"/>
    <col min="15" max="16" width="13.75" style="3" hidden="1" customWidth="1"/>
    <col min="17" max="17" width="13.25" style="3" customWidth="1"/>
    <col min="18" max="16384" width="9.125" style="13"/>
  </cols>
  <sheetData>
    <row r="1" spans="1:22" ht="29.45" customHeight="1">
      <c r="A1" s="814" t="s">
        <v>141</v>
      </c>
      <c r="B1" s="814"/>
      <c r="C1" s="814"/>
      <c r="D1" s="814"/>
      <c r="E1" s="814"/>
      <c r="F1" s="814"/>
      <c r="G1" s="814"/>
      <c r="H1" s="814"/>
      <c r="I1" s="877" t="s">
        <v>0</v>
      </c>
      <c r="J1" s="877"/>
      <c r="K1" s="877"/>
      <c r="L1" s="877"/>
      <c r="M1" s="877"/>
      <c r="N1" s="877"/>
      <c r="O1" s="2"/>
      <c r="P1" s="2"/>
      <c r="Q1" s="2"/>
      <c r="R1" s="2"/>
    </row>
    <row r="2" spans="1:22" ht="31.9" customHeight="1">
      <c r="A2" s="842" t="s">
        <v>142</v>
      </c>
      <c r="B2" s="842"/>
      <c r="C2" s="842"/>
      <c r="D2" s="842"/>
      <c r="E2" s="842"/>
      <c r="F2" s="842"/>
      <c r="G2" s="842"/>
      <c r="H2" s="842"/>
      <c r="I2" s="878" t="s">
        <v>49</v>
      </c>
      <c r="J2" s="878"/>
      <c r="K2" s="878"/>
      <c r="L2" s="878"/>
      <c r="M2" s="878"/>
      <c r="N2" s="878"/>
      <c r="O2" s="2"/>
      <c r="P2" s="2"/>
      <c r="Q2" s="2"/>
      <c r="R2" s="2"/>
    </row>
    <row r="3" spans="1:22" ht="32.450000000000003" customHeight="1">
      <c r="A3" s="813" t="s">
        <v>50</v>
      </c>
      <c r="B3" s="813"/>
      <c r="C3" s="813"/>
      <c r="D3" s="813"/>
      <c r="E3" s="813"/>
      <c r="F3" s="813"/>
      <c r="G3" s="813"/>
      <c r="H3" s="813"/>
      <c r="I3" s="813"/>
      <c r="J3" s="813"/>
      <c r="K3" s="813"/>
      <c r="L3" s="813"/>
      <c r="M3" s="813"/>
      <c r="N3" s="813"/>
      <c r="O3" s="813"/>
      <c r="P3" s="813"/>
      <c r="Q3" s="813"/>
      <c r="R3" s="126"/>
      <c r="S3" s="126"/>
      <c r="T3" s="126"/>
      <c r="U3" s="126"/>
      <c r="V3" s="126"/>
    </row>
    <row r="4" spans="1:22" ht="34.15" customHeight="1">
      <c r="A4" s="925" t="s">
        <v>143</v>
      </c>
      <c r="B4" s="925"/>
      <c r="C4" s="925"/>
      <c r="D4" s="925"/>
      <c r="E4" s="925"/>
      <c r="F4" s="925"/>
      <c r="G4" s="925"/>
      <c r="H4" s="925"/>
      <c r="I4" s="925"/>
      <c r="J4" s="925"/>
      <c r="K4" s="925"/>
      <c r="L4" s="925"/>
      <c r="M4" s="925"/>
      <c r="N4" s="925"/>
      <c r="O4" s="925"/>
      <c r="P4" s="925"/>
      <c r="Q4" s="925"/>
    </row>
    <row r="5" spans="1:22" s="15" customFormat="1" ht="30" customHeight="1">
      <c r="A5" s="926" t="s">
        <v>3</v>
      </c>
      <c r="B5" s="926"/>
      <c r="C5" s="926"/>
      <c r="D5" s="926"/>
      <c r="E5" s="926"/>
      <c r="F5" s="926"/>
      <c r="G5" s="926"/>
      <c r="H5" s="926"/>
      <c r="I5" s="926"/>
      <c r="J5" s="926"/>
      <c r="K5" s="926"/>
      <c r="L5" s="926"/>
      <c r="M5" s="926"/>
      <c r="N5" s="926"/>
      <c r="O5" s="926"/>
      <c r="P5" s="926"/>
      <c r="Q5" s="926"/>
      <c r="R5" s="13"/>
    </row>
    <row r="6" spans="1:22" s="129" customFormat="1" ht="20.25" customHeight="1">
      <c r="A6" s="848" t="s">
        <v>22</v>
      </c>
      <c r="B6" s="848" t="s">
        <v>23</v>
      </c>
      <c r="C6" s="848" t="s">
        <v>26</v>
      </c>
      <c r="D6" s="867" t="s">
        <v>144</v>
      </c>
      <c r="E6" s="927" t="s">
        <v>145</v>
      </c>
      <c r="F6" s="928"/>
      <c r="G6" s="928"/>
      <c r="H6" s="928"/>
      <c r="I6" s="927" t="s">
        <v>29</v>
      </c>
      <c r="J6" s="928"/>
      <c r="K6" s="928"/>
      <c r="L6" s="928"/>
      <c r="M6" s="127"/>
      <c r="N6" s="127"/>
      <c r="O6" s="127"/>
      <c r="P6" s="128"/>
      <c r="Q6" s="848" t="s">
        <v>7</v>
      </c>
      <c r="R6" s="931"/>
      <c r="S6" s="927" t="s">
        <v>146</v>
      </c>
      <c r="T6" s="928"/>
      <c r="U6" s="928"/>
      <c r="V6" s="928"/>
    </row>
    <row r="7" spans="1:22" s="16" customFormat="1" ht="14.25" customHeight="1">
      <c r="A7" s="849"/>
      <c r="B7" s="849"/>
      <c r="C7" s="849"/>
      <c r="D7" s="868"/>
      <c r="E7" s="929"/>
      <c r="F7" s="826"/>
      <c r="G7" s="826"/>
      <c r="H7" s="826"/>
      <c r="I7" s="929"/>
      <c r="J7" s="826"/>
      <c r="K7" s="826"/>
      <c r="L7" s="826"/>
      <c r="M7" s="856" t="s">
        <v>147</v>
      </c>
      <c r="N7" s="856"/>
      <c r="O7" s="856"/>
      <c r="P7" s="856"/>
      <c r="Q7" s="849"/>
      <c r="R7" s="931"/>
      <c r="S7" s="929"/>
      <c r="T7" s="826"/>
      <c r="U7" s="826"/>
      <c r="V7" s="826"/>
    </row>
    <row r="8" spans="1:22" s="16" customFormat="1" ht="65.25" customHeight="1">
      <c r="A8" s="849"/>
      <c r="B8" s="849"/>
      <c r="C8" s="849"/>
      <c r="D8" s="868"/>
      <c r="E8" s="856" t="s">
        <v>148</v>
      </c>
      <c r="F8" s="856"/>
      <c r="G8" s="856" t="s">
        <v>149</v>
      </c>
      <c r="H8" s="856" t="s">
        <v>150</v>
      </c>
      <c r="I8" s="856" t="s">
        <v>148</v>
      </c>
      <c r="J8" s="856"/>
      <c r="K8" s="856" t="s">
        <v>149</v>
      </c>
      <c r="L8" s="856" t="s">
        <v>150</v>
      </c>
      <c r="M8" s="856" t="s">
        <v>151</v>
      </c>
      <c r="N8" s="856"/>
      <c r="O8" s="856" t="s">
        <v>149</v>
      </c>
      <c r="P8" s="856" t="s">
        <v>150</v>
      </c>
      <c r="Q8" s="849"/>
      <c r="R8" s="931"/>
      <c r="S8" s="856" t="s">
        <v>148</v>
      </c>
      <c r="T8" s="856"/>
      <c r="U8" s="856" t="s">
        <v>149</v>
      </c>
      <c r="V8" s="856" t="s">
        <v>150</v>
      </c>
    </row>
    <row r="9" spans="1:22" s="16" customFormat="1" ht="52.5" customHeight="1">
      <c r="A9" s="850"/>
      <c r="B9" s="850"/>
      <c r="C9" s="850"/>
      <c r="D9" s="869"/>
      <c r="E9" s="44" t="s">
        <v>152</v>
      </c>
      <c r="F9" s="44" t="s">
        <v>153</v>
      </c>
      <c r="G9" s="856"/>
      <c r="H9" s="856"/>
      <c r="I9" s="44" t="s">
        <v>152</v>
      </c>
      <c r="J9" s="44" t="s">
        <v>153</v>
      </c>
      <c r="K9" s="856"/>
      <c r="L9" s="856"/>
      <c r="M9" s="44" t="s">
        <v>152</v>
      </c>
      <c r="N9" s="44" t="s">
        <v>153</v>
      </c>
      <c r="O9" s="856"/>
      <c r="P9" s="856"/>
      <c r="Q9" s="850"/>
      <c r="R9" s="37"/>
      <c r="S9" s="44" t="s">
        <v>152</v>
      </c>
      <c r="T9" s="44" t="s">
        <v>153</v>
      </c>
      <c r="U9" s="856"/>
      <c r="V9" s="856"/>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13</v>
      </c>
      <c r="C11" s="33"/>
      <c r="D11" s="34"/>
      <c r="E11" s="34"/>
      <c r="F11" s="34"/>
      <c r="G11" s="34"/>
      <c r="H11" s="34"/>
      <c r="I11" s="34"/>
      <c r="J11" s="34"/>
      <c r="K11" s="34"/>
      <c r="L11" s="34"/>
      <c r="M11" s="34"/>
      <c r="N11" s="34"/>
      <c r="O11" s="34"/>
      <c r="P11" s="34"/>
      <c r="Q11" s="34"/>
    </row>
    <row r="12" spans="1:22" s="25" customFormat="1" ht="36.75" customHeight="1">
      <c r="A12" s="29" t="s">
        <v>37</v>
      </c>
      <c r="B12" s="30" t="s">
        <v>38</v>
      </c>
      <c r="C12" s="23"/>
      <c r="D12" s="24"/>
      <c r="E12" s="24"/>
      <c r="F12" s="24"/>
      <c r="G12" s="24"/>
      <c r="H12" s="24"/>
      <c r="I12" s="24"/>
      <c r="J12" s="24"/>
      <c r="K12" s="24"/>
      <c r="L12" s="24"/>
      <c r="M12" s="24"/>
      <c r="N12" s="24"/>
      <c r="O12" s="24"/>
      <c r="P12" s="24"/>
      <c r="Q12" s="24"/>
    </row>
    <row r="13" spans="1:22" s="25" customFormat="1" ht="36.75" customHeight="1">
      <c r="A13" s="29" t="s">
        <v>39</v>
      </c>
      <c r="B13" s="30" t="s">
        <v>38</v>
      </c>
      <c r="C13" s="23"/>
      <c r="D13" s="24"/>
      <c r="E13" s="24"/>
      <c r="F13" s="24"/>
      <c r="G13" s="24"/>
      <c r="H13" s="24"/>
      <c r="I13" s="24"/>
      <c r="J13" s="24"/>
      <c r="K13" s="24"/>
      <c r="L13" s="24"/>
      <c r="M13" s="24"/>
      <c r="N13" s="24"/>
      <c r="O13" s="24"/>
      <c r="P13" s="24"/>
      <c r="Q13" s="24"/>
    </row>
    <row r="14" spans="1:22" s="25" customFormat="1" ht="36.75" customHeight="1">
      <c r="A14" s="29" t="s">
        <v>40</v>
      </c>
      <c r="B14" s="31" t="s">
        <v>41</v>
      </c>
      <c r="C14" s="23"/>
      <c r="D14" s="24"/>
      <c r="E14" s="24"/>
      <c r="F14" s="24"/>
      <c r="G14" s="24"/>
      <c r="H14" s="24"/>
      <c r="I14" s="24"/>
      <c r="J14" s="24"/>
      <c r="K14" s="24"/>
      <c r="L14" s="24"/>
      <c r="M14" s="24"/>
      <c r="N14" s="24"/>
      <c r="O14" s="24"/>
      <c r="P14" s="24"/>
      <c r="Q14" s="24"/>
    </row>
    <row r="15" spans="1:22" s="25" customFormat="1" ht="8.25" customHeight="1">
      <c r="A15" s="130"/>
      <c r="B15" s="131"/>
      <c r="C15" s="132"/>
      <c r="D15" s="59"/>
      <c r="E15" s="59"/>
      <c r="F15" s="59"/>
      <c r="G15" s="59"/>
      <c r="H15" s="59"/>
      <c r="I15" s="59"/>
      <c r="J15" s="59"/>
      <c r="K15" s="59"/>
      <c r="L15" s="59"/>
      <c r="M15" s="59"/>
      <c r="N15" s="59"/>
      <c r="O15" s="59"/>
      <c r="P15" s="59"/>
      <c r="Q15" s="59"/>
    </row>
    <row r="16" spans="1:22" s="14" customFormat="1" ht="35.25" customHeight="1">
      <c r="A16" s="65"/>
      <c r="B16" s="932" t="s">
        <v>88</v>
      </c>
      <c r="C16" s="932"/>
      <c r="D16" s="932"/>
      <c r="E16" s="932"/>
      <c r="F16" s="932"/>
      <c r="G16" s="932"/>
      <c r="H16" s="932"/>
      <c r="I16" s="932"/>
      <c r="J16" s="932"/>
      <c r="K16" s="932"/>
      <c r="L16" s="932"/>
      <c r="M16" s="932"/>
      <c r="N16" s="932"/>
      <c r="O16" s="932"/>
      <c r="P16" s="932"/>
      <c r="Q16" s="932"/>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895" t="s">
        <v>20</v>
      </c>
      <c r="C18" s="895"/>
      <c r="D18" s="895"/>
      <c r="E18" s="895"/>
      <c r="F18" s="895"/>
      <c r="G18" s="895"/>
      <c r="H18" s="895"/>
      <c r="I18" s="895"/>
      <c r="J18" s="895"/>
      <c r="K18" s="895"/>
      <c r="L18" s="895"/>
      <c r="M18" s="895"/>
      <c r="N18" s="895"/>
      <c r="O18" s="895"/>
      <c r="P18" s="895"/>
      <c r="Q18" s="895"/>
    </row>
    <row r="19" spans="1:17" s="133" customFormat="1" ht="25.5" customHeight="1">
      <c r="A19" s="130"/>
      <c r="B19" s="134" t="s">
        <v>154</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930"/>
      <c r="C39" s="930"/>
      <c r="D39" s="930"/>
      <c r="E39" s="930"/>
      <c r="F39" s="930"/>
      <c r="G39" s="930"/>
      <c r="H39" s="930"/>
      <c r="I39" s="930"/>
      <c r="J39" s="930"/>
      <c r="K39" s="930"/>
      <c r="L39" s="930"/>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 ref="A5:Q5"/>
    <mergeCell ref="A6:A9"/>
    <mergeCell ref="B6:B9"/>
    <mergeCell ref="C6:C9"/>
    <mergeCell ref="D6:D9"/>
    <mergeCell ref="E6:H7"/>
    <mergeCell ref="I6:L7"/>
    <mergeCell ref="Q6:Q9"/>
    <mergeCell ref="O8:O9"/>
    <mergeCell ref="P8:P9"/>
    <mergeCell ref="A4:Q4"/>
    <mergeCell ref="A1:H1"/>
    <mergeCell ref="I1:N1"/>
    <mergeCell ref="A2:H2"/>
    <mergeCell ref="I2:N2"/>
    <mergeCell ref="A3:Q3"/>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8"/>
  <sheetViews>
    <sheetView zoomScalePageLayoutView="75" workbookViewId="0">
      <selection activeCell="I27" sqref="I27"/>
    </sheetView>
  </sheetViews>
  <sheetFormatPr defaultColWidth="9.125" defaultRowHeight="16.5"/>
  <cols>
    <col min="1" max="1" width="6.125" style="148" customWidth="1"/>
    <col min="2" max="2" width="43.25" style="143" customWidth="1"/>
    <col min="3" max="3" width="12.25" style="143" customWidth="1"/>
    <col min="4" max="4" width="9.75" style="143" customWidth="1"/>
    <col min="5" max="5" width="10.125" style="143" customWidth="1"/>
    <col min="6" max="7" width="9.25" style="143" customWidth="1"/>
    <col min="8" max="8" width="15.75" style="143" customWidth="1"/>
    <col min="9" max="9" width="17.625" style="143" customWidth="1"/>
    <col min="10" max="10" width="9" style="143" customWidth="1"/>
    <col min="11" max="11" width="11.25" style="143" customWidth="1"/>
    <col min="12" max="12" width="10.75" style="143" customWidth="1"/>
    <col min="13" max="16384" width="9.125" style="143"/>
  </cols>
  <sheetData>
    <row r="1" spans="1:13" s="140" customFormat="1" ht="26.25" customHeight="1">
      <c r="A1" s="936" t="s">
        <v>155</v>
      </c>
      <c r="B1" s="936"/>
      <c r="C1" s="936"/>
      <c r="D1" s="936"/>
      <c r="E1" s="936"/>
      <c r="F1" s="936"/>
      <c r="G1" s="138"/>
      <c r="H1" s="139" t="s">
        <v>0</v>
      </c>
      <c r="I1" s="139"/>
      <c r="J1" s="138"/>
      <c r="K1" s="138"/>
      <c r="L1" s="138"/>
      <c r="M1" s="138"/>
    </row>
    <row r="2" spans="1:13" s="140" customFormat="1" ht="38.25" customHeight="1">
      <c r="A2" s="937" t="s">
        <v>142</v>
      </c>
      <c r="B2" s="937"/>
      <c r="C2" s="937"/>
      <c r="D2" s="937"/>
      <c r="E2" s="937"/>
      <c r="F2" s="937"/>
      <c r="G2" s="141"/>
      <c r="H2" s="142" t="s">
        <v>2</v>
      </c>
      <c r="I2" s="142"/>
      <c r="J2" s="141"/>
      <c r="K2" s="141"/>
      <c r="L2" s="141"/>
      <c r="M2" s="141"/>
    </row>
    <row r="3" spans="1:13" ht="25.5" customHeight="1">
      <c r="A3" s="938" t="s">
        <v>156</v>
      </c>
      <c r="B3" s="938"/>
      <c r="C3" s="938"/>
      <c r="D3" s="938"/>
      <c r="E3" s="938"/>
      <c r="F3" s="938"/>
      <c r="G3" s="938"/>
      <c r="H3" s="938"/>
      <c r="I3" s="938"/>
      <c r="J3" s="938"/>
      <c r="K3" s="938"/>
      <c r="L3" s="938"/>
      <c r="M3" s="938"/>
    </row>
    <row r="4" spans="1:13" s="140" customFormat="1" ht="26.25" customHeight="1">
      <c r="A4" s="936" t="s">
        <v>157</v>
      </c>
      <c r="B4" s="936"/>
      <c r="C4" s="936"/>
      <c r="D4" s="936"/>
      <c r="E4" s="936"/>
      <c r="F4" s="936"/>
      <c r="G4" s="936"/>
      <c r="H4" s="936"/>
      <c r="I4" s="936"/>
      <c r="J4" s="936"/>
      <c r="K4" s="936"/>
      <c r="L4" s="936"/>
      <c r="M4" s="936"/>
    </row>
    <row r="5" spans="1:13" s="145" customFormat="1" ht="29.25" customHeight="1">
      <c r="A5" s="144"/>
      <c r="B5" s="141"/>
      <c r="C5" s="141"/>
      <c r="D5" s="141"/>
      <c r="E5" s="141"/>
      <c r="F5" s="141"/>
      <c r="G5" s="939" t="s">
        <v>3</v>
      </c>
      <c r="H5" s="939"/>
      <c r="I5" s="939"/>
      <c r="J5" s="939"/>
      <c r="K5" s="939"/>
      <c r="L5" s="939"/>
      <c r="M5" s="939"/>
    </row>
    <row r="6" spans="1:13" s="146" customFormat="1" ht="37.5" customHeight="1">
      <c r="A6" s="935" t="s">
        <v>4</v>
      </c>
      <c r="B6" s="935" t="s">
        <v>158</v>
      </c>
      <c r="C6" s="940" t="s">
        <v>159</v>
      </c>
      <c r="D6" s="941"/>
      <c r="E6" s="941"/>
      <c r="F6" s="942"/>
      <c r="G6" s="940" t="s">
        <v>160</v>
      </c>
      <c r="H6" s="941"/>
      <c r="I6" s="941"/>
      <c r="J6" s="941"/>
      <c r="K6" s="941"/>
      <c r="L6" s="942"/>
      <c r="M6" s="933" t="s">
        <v>7</v>
      </c>
    </row>
    <row r="7" spans="1:13" s="146" customFormat="1" ht="31.5" customHeight="1">
      <c r="A7" s="935"/>
      <c r="B7" s="935"/>
      <c r="C7" s="933" t="s">
        <v>161</v>
      </c>
      <c r="D7" s="935" t="s">
        <v>162</v>
      </c>
      <c r="E7" s="935"/>
      <c r="F7" s="935"/>
      <c r="G7" s="935" t="s">
        <v>161</v>
      </c>
      <c r="H7" s="935"/>
      <c r="I7" s="935"/>
      <c r="J7" s="935" t="s">
        <v>162</v>
      </c>
      <c r="K7" s="935"/>
      <c r="L7" s="935"/>
      <c r="M7" s="943"/>
    </row>
    <row r="8" spans="1:13" s="146" customFormat="1" ht="93.75" customHeight="1">
      <c r="A8" s="935"/>
      <c r="B8" s="935"/>
      <c r="C8" s="934"/>
      <c r="D8" s="147" t="s">
        <v>9</v>
      </c>
      <c r="E8" s="147" t="s">
        <v>10</v>
      </c>
      <c r="F8" s="147" t="s">
        <v>11</v>
      </c>
      <c r="G8" s="147" t="s">
        <v>9</v>
      </c>
      <c r="H8" s="147" t="s">
        <v>163</v>
      </c>
      <c r="I8" s="147" t="s">
        <v>164</v>
      </c>
      <c r="J8" s="147" t="s">
        <v>9</v>
      </c>
      <c r="K8" s="147" t="s">
        <v>10</v>
      </c>
      <c r="L8" s="147" t="s">
        <v>11</v>
      </c>
      <c r="M8" s="934"/>
    </row>
    <row r="9" spans="1:13" s="148" customFormat="1" ht="21"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165</v>
      </c>
      <c r="C11" s="150"/>
      <c r="D11" s="151"/>
      <c r="E11" s="151"/>
      <c r="F11" s="151"/>
      <c r="G11" s="151"/>
      <c r="H11" s="151"/>
      <c r="I11" s="151"/>
      <c r="J11" s="149"/>
      <c r="K11" s="149"/>
      <c r="L11" s="149"/>
      <c r="M11" s="149"/>
    </row>
    <row r="12" spans="1:13" ht="33" customHeight="1">
      <c r="A12" s="150" t="s">
        <v>32</v>
      </c>
      <c r="B12" s="152" t="s">
        <v>166</v>
      </c>
      <c r="C12" s="152"/>
      <c r="D12" s="151"/>
      <c r="E12" s="151"/>
      <c r="F12" s="151"/>
      <c r="G12" s="151"/>
      <c r="H12" s="151"/>
      <c r="I12" s="151"/>
      <c r="J12" s="149"/>
      <c r="K12" s="149"/>
      <c r="L12" s="149"/>
      <c r="M12" s="149"/>
    </row>
    <row r="13" spans="1:13" ht="36" customHeight="1">
      <c r="A13" s="150">
        <v>1</v>
      </c>
      <c r="B13" s="153" t="s">
        <v>167</v>
      </c>
      <c r="C13" s="154"/>
      <c r="D13" s="151"/>
      <c r="E13" s="151"/>
      <c r="F13" s="151"/>
      <c r="G13" s="151"/>
      <c r="H13" s="151"/>
      <c r="I13" s="151"/>
      <c r="J13" s="149"/>
      <c r="K13" s="149"/>
      <c r="L13" s="149"/>
      <c r="M13" s="149"/>
    </row>
    <row r="14" spans="1:13" s="145" customFormat="1" ht="26.25" customHeight="1">
      <c r="A14" s="155"/>
      <c r="B14" s="156" t="s">
        <v>14</v>
      </c>
      <c r="C14" s="156"/>
      <c r="D14" s="157"/>
      <c r="E14" s="157"/>
      <c r="F14" s="157"/>
      <c r="G14" s="157"/>
      <c r="H14" s="157"/>
      <c r="I14" s="157"/>
      <c r="J14" s="158"/>
      <c r="K14" s="158"/>
      <c r="L14" s="158"/>
      <c r="M14" s="158"/>
    </row>
    <row r="15" spans="1:13" s="145" customFormat="1" ht="26.25" customHeight="1">
      <c r="A15" s="159" t="s">
        <v>168</v>
      </c>
      <c r="B15" s="158" t="s">
        <v>169</v>
      </c>
      <c r="C15" s="158"/>
      <c r="D15" s="160"/>
      <c r="E15" s="160"/>
      <c r="F15" s="160"/>
      <c r="G15" s="160"/>
      <c r="H15" s="160"/>
      <c r="I15" s="160"/>
      <c r="J15" s="158"/>
      <c r="K15" s="158"/>
      <c r="L15" s="158"/>
      <c r="M15" s="158"/>
    </row>
    <row r="16" spans="1:13" s="145" customFormat="1" ht="26.25" customHeight="1">
      <c r="A16" s="159" t="s">
        <v>168</v>
      </c>
      <c r="B16" s="158" t="s">
        <v>170</v>
      </c>
      <c r="C16" s="158"/>
      <c r="D16" s="160"/>
      <c r="E16" s="160"/>
      <c r="F16" s="160"/>
      <c r="G16" s="160"/>
      <c r="H16" s="160"/>
      <c r="I16" s="160"/>
      <c r="J16" s="158"/>
      <c r="K16" s="158"/>
      <c r="L16" s="158"/>
      <c r="M16" s="158"/>
    </row>
    <row r="17" spans="1:13" ht="33">
      <c r="A17" s="161" t="s">
        <v>35</v>
      </c>
      <c r="B17" s="162" t="s">
        <v>171</v>
      </c>
      <c r="C17" s="163"/>
      <c r="D17" s="164"/>
      <c r="E17" s="164"/>
      <c r="F17" s="164"/>
      <c r="G17" s="164"/>
      <c r="H17" s="164"/>
      <c r="I17" s="164"/>
      <c r="J17" s="149"/>
      <c r="K17" s="149"/>
      <c r="L17" s="149"/>
      <c r="M17" s="149"/>
    </row>
    <row r="18" spans="1:13" s="145" customFormat="1" ht="26.25" customHeight="1">
      <c r="A18" s="155"/>
      <c r="B18" s="156" t="s">
        <v>14</v>
      </c>
      <c r="C18" s="156"/>
      <c r="D18" s="157"/>
      <c r="E18" s="157"/>
      <c r="F18" s="157"/>
      <c r="G18" s="157"/>
      <c r="H18" s="157"/>
      <c r="I18" s="157"/>
      <c r="J18" s="158"/>
      <c r="K18" s="158"/>
      <c r="L18" s="158"/>
      <c r="M18" s="158"/>
    </row>
    <row r="19" spans="1:13" s="145" customFormat="1" ht="39.75" customHeight="1">
      <c r="A19" s="159" t="s">
        <v>168</v>
      </c>
      <c r="B19" s="158" t="s">
        <v>172</v>
      </c>
      <c r="C19" s="158"/>
      <c r="D19" s="160"/>
      <c r="E19" s="160"/>
      <c r="F19" s="160"/>
      <c r="G19" s="160"/>
      <c r="H19" s="160"/>
      <c r="I19" s="160"/>
      <c r="J19" s="158"/>
      <c r="K19" s="158"/>
      <c r="L19" s="158"/>
      <c r="M19" s="158"/>
    </row>
    <row r="20" spans="1:13" s="145" customFormat="1" ht="39.75" customHeight="1">
      <c r="A20" s="159" t="s">
        <v>168</v>
      </c>
      <c r="B20" s="158" t="s">
        <v>173</v>
      </c>
      <c r="C20" s="158"/>
      <c r="D20" s="160"/>
      <c r="E20" s="160"/>
      <c r="F20" s="160"/>
      <c r="G20" s="160"/>
      <c r="H20" s="160"/>
      <c r="I20" s="160"/>
      <c r="J20" s="158"/>
      <c r="K20" s="158"/>
      <c r="L20" s="158"/>
      <c r="M20" s="158"/>
    </row>
    <row r="21" spans="1:13" ht="36" customHeight="1">
      <c r="A21" s="161" t="s">
        <v>42</v>
      </c>
      <c r="B21" s="162" t="s">
        <v>174</v>
      </c>
      <c r="C21" s="163"/>
      <c r="D21" s="164"/>
      <c r="E21" s="164"/>
      <c r="F21" s="164"/>
      <c r="G21" s="164"/>
      <c r="H21" s="164"/>
      <c r="I21" s="164"/>
      <c r="J21" s="149"/>
      <c r="K21" s="149"/>
      <c r="L21" s="149"/>
      <c r="M21" s="149"/>
    </row>
    <row r="22" spans="1:13" ht="36.75" customHeight="1">
      <c r="A22" s="150">
        <v>2</v>
      </c>
      <c r="B22" s="165" t="s">
        <v>175</v>
      </c>
      <c r="C22" s="154"/>
      <c r="D22" s="151"/>
      <c r="E22" s="151"/>
      <c r="F22" s="151"/>
      <c r="G22" s="151"/>
      <c r="H22" s="151"/>
      <c r="I22" s="151"/>
      <c r="J22" s="149"/>
      <c r="K22" s="149"/>
      <c r="L22" s="149"/>
      <c r="M22" s="149"/>
    </row>
    <row r="23" spans="1:13" s="145" customFormat="1" ht="26.25" customHeight="1">
      <c r="A23" s="155"/>
      <c r="B23" s="156" t="s">
        <v>14</v>
      </c>
      <c r="C23" s="156"/>
      <c r="D23" s="157"/>
      <c r="E23" s="157"/>
      <c r="F23" s="157"/>
      <c r="G23" s="157"/>
      <c r="H23" s="157"/>
      <c r="I23" s="157"/>
      <c r="J23" s="158"/>
      <c r="K23" s="158"/>
      <c r="L23" s="158"/>
      <c r="M23" s="158"/>
    </row>
    <row r="24" spans="1:13" s="145" customFormat="1" ht="26.25" customHeight="1">
      <c r="A24" s="159" t="s">
        <v>168</v>
      </c>
      <c r="B24" s="158" t="s">
        <v>169</v>
      </c>
      <c r="C24" s="158"/>
      <c r="D24" s="160"/>
      <c r="E24" s="160"/>
      <c r="F24" s="160"/>
      <c r="G24" s="160"/>
      <c r="H24" s="160"/>
      <c r="I24" s="160"/>
      <c r="J24" s="158"/>
      <c r="K24" s="158"/>
      <c r="L24" s="158"/>
      <c r="M24" s="158"/>
    </row>
    <row r="25" spans="1:13" s="145" customFormat="1" ht="26.25" customHeight="1">
      <c r="A25" s="159" t="s">
        <v>168</v>
      </c>
      <c r="B25" s="158" t="s">
        <v>170</v>
      </c>
      <c r="C25" s="158"/>
      <c r="D25" s="160"/>
      <c r="E25" s="160"/>
      <c r="F25" s="160"/>
      <c r="G25" s="160"/>
      <c r="H25" s="160"/>
      <c r="I25" s="160"/>
      <c r="J25" s="158"/>
      <c r="K25" s="158"/>
      <c r="L25" s="158"/>
      <c r="M25" s="158"/>
    </row>
    <row r="26" spans="1:13" s="168" customFormat="1" ht="24.75" customHeight="1">
      <c r="A26" s="166" t="s">
        <v>35</v>
      </c>
      <c r="B26" s="167" t="s">
        <v>176</v>
      </c>
      <c r="C26" s="167"/>
      <c r="D26" s="157"/>
      <c r="E26" s="157"/>
      <c r="F26" s="157"/>
      <c r="G26" s="157"/>
      <c r="H26" s="157"/>
      <c r="I26" s="157"/>
      <c r="J26" s="156"/>
      <c r="K26" s="156"/>
      <c r="L26" s="156"/>
      <c r="M26" s="156"/>
    </row>
    <row r="27" spans="1:13" s="145" customFormat="1" ht="26.25" customHeight="1">
      <c r="A27" s="155"/>
      <c r="B27" s="156" t="s">
        <v>14</v>
      </c>
      <c r="C27" s="156"/>
      <c r="D27" s="157"/>
      <c r="E27" s="157"/>
      <c r="F27" s="157"/>
      <c r="G27" s="157"/>
      <c r="H27" s="157"/>
      <c r="I27" s="157"/>
      <c r="J27" s="158"/>
      <c r="K27" s="158"/>
      <c r="L27" s="158"/>
      <c r="M27" s="158"/>
    </row>
    <row r="28" spans="1:13" s="145" customFormat="1" ht="26.25" customHeight="1">
      <c r="A28" s="159" t="s">
        <v>168</v>
      </c>
      <c r="B28" s="158" t="s">
        <v>169</v>
      </c>
      <c r="C28" s="158"/>
      <c r="D28" s="160"/>
      <c r="E28" s="160"/>
      <c r="F28" s="160"/>
      <c r="G28" s="160"/>
      <c r="H28" s="160"/>
      <c r="I28" s="160"/>
      <c r="J28" s="158"/>
      <c r="K28" s="158"/>
      <c r="L28" s="158"/>
      <c r="M28" s="158"/>
    </row>
    <row r="29" spans="1:13" s="145" customFormat="1" ht="26.25" customHeight="1">
      <c r="A29" s="159" t="s">
        <v>168</v>
      </c>
      <c r="B29" s="158" t="s">
        <v>170</v>
      </c>
      <c r="C29" s="158"/>
      <c r="D29" s="160"/>
      <c r="E29" s="160"/>
      <c r="F29" s="160"/>
      <c r="G29" s="160"/>
      <c r="H29" s="160"/>
      <c r="I29" s="160"/>
      <c r="J29" s="158"/>
      <c r="K29" s="158"/>
      <c r="L29" s="158"/>
      <c r="M29" s="158"/>
    </row>
    <row r="30" spans="1:13" ht="26.25" customHeight="1">
      <c r="A30" s="169">
        <v>-1</v>
      </c>
      <c r="B30" s="149" t="s">
        <v>177</v>
      </c>
      <c r="C30" s="149"/>
      <c r="D30" s="164"/>
      <c r="E30" s="164"/>
      <c r="F30" s="164"/>
      <c r="G30" s="164"/>
      <c r="H30" s="164"/>
      <c r="I30" s="164"/>
      <c r="J30" s="149"/>
      <c r="K30" s="149"/>
      <c r="L30" s="149"/>
      <c r="M30" s="149"/>
    </row>
    <row r="31" spans="1:13" ht="26.25" customHeight="1">
      <c r="A31" s="170" t="s">
        <v>168</v>
      </c>
      <c r="B31" s="149" t="s">
        <v>169</v>
      </c>
      <c r="C31" s="149"/>
      <c r="D31" s="164"/>
      <c r="E31" s="164"/>
      <c r="F31" s="164"/>
      <c r="G31" s="164"/>
      <c r="H31" s="164"/>
      <c r="I31" s="164"/>
      <c r="J31" s="149"/>
      <c r="K31" s="149"/>
      <c r="L31" s="149"/>
      <c r="M31" s="149"/>
    </row>
    <row r="32" spans="1:13" ht="26.25" customHeight="1">
      <c r="A32" s="170" t="s">
        <v>168</v>
      </c>
      <c r="B32" s="149" t="s">
        <v>170</v>
      </c>
      <c r="C32" s="149"/>
      <c r="D32" s="164"/>
      <c r="E32" s="164"/>
      <c r="F32" s="164"/>
      <c r="G32" s="164"/>
      <c r="H32" s="164"/>
      <c r="I32" s="164"/>
      <c r="J32" s="149"/>
      <c r="K32" s="149"/>
      <c r="L32" s="149"/>
      <c r="M32" s="149"/>
    </row>
    <row r="33" spans="1:13" ht="26.25" customHeight="1">
      <c r="A33" s="169">
        <v>-2</v>
      </c>
      <c r="B33" s="149" t="s">
        <v>177</v>
      </c>
      <c r="C33" s="149"/>
      <c r="D33" s="164"/>
      <c r="E33" s="164"/>
      <c r="F33" s="164"/>
      <c r="G33" s="164"/>
      <c r="H33" s="164"/>
      <c r="I33" s="164"/>
      <c r="J33" s="149"/>
      <c r="K33" s="149"/>
      <c r="L33" s="149"/>
      <c r="M33" s="149"/>
    </row>
    <row r="34" spans="1:13" s="145" customFormat="1" ht="26.25" customHeight="1">
      <c r="A34" s="159"/>
      <c r="B34" s="158" t="s">
        <v>81</v>
      </c>
      <c r="C34" s="158"/>
      <c r="D34" s="160"/>
      <c r="E34" s="160"/>
      <c r="F34" s="160"/>
      <c r="G34" s="160"/>
      <c r="H34" s="160"/>
      <c r="I34" s="160"/>
      <c r="J34" s="158"/>
      <c r="K34" s="158"/>
      <c r="L34" s="158"/>
      <c r="M34" s="158"/>
    </row>
    <row r="35" spans="1:13" s="145" customFormat="1" ht="26.25" customHeight="1">
      <c r="A35" s="159" t="s">
        <v>40</v>
      </c>
      <c r="B35" s="158" t="s">
        <v>40</v>
      </c>
      <c r="C35" s="158"/>
      <c r="D35" s="160"/>
      <c r="E35" s="160"/>
      <c r="F35" s="160"/>
      <c r="G35" s="160"/>
      <c r="H35" s="160"/>
      <c r="I35" s="160"/>
      <c r="J35" s="158"/>
      <c r="K35" s="158"/>
      <c r="L35" s="158"/>
      <c r="M35" s="158"/>
    </row>
    <row r="36" spans="1:13" s="168" customFormat="1" ht="26.25" customHeight="1">
      <c r="A36" s="166" t="s">
        <v>42</v>
      </c>
      <c r="B36" s="167" t="s">
        <v>178</v>
      </c>
      <c r="C36" s="167"/>
      <c r="D36" s="157"/>
      <c r="E36" s="157"/>
      <c r="F36" s="157"/>
      <c r="G36" s="157"/>
      <c r="H36" s="157"/>
      <c r="I36" s="157"/>
      <c r="J36" s="156"/>
      <c r="K36" s="156"/>
      <c r="L36" s="156"/>
      <c r="M36" s="156"/>
    </row>
    <row r="37" spans="1:13" s="145" customFormat="1" ht="26.25" customHeight="1">
      <c r="A37" s="155"/>
      <c r="B37" s="156" t="s">
        <v>14</v>
      </c>
      <c r="C37" s="156"/>
      <c r="D37" s="157"/>
      <c r="E37" s="157"/>
      <c r="F37" s="157"/>
      <c r="G37" s="157"/>
      <c r="H37" s="157"/>
      <c r="I37" s="157"/>
      <c r="J37" s="158"/>
      <c r="K37" s="158"/>
      <c r="L37" s="158"/>
      <c r="M37" s="158"/>
    </row>
    <row r="38" spans="1:13" s="145" customFormat="1" ht="26.25" customHeight="1">
      <c r="A38" s="159" t="s">
        <v>168</v>
      </c>
      <c r="B38" s="158" t="s">
        <v>169</v>
      </c>
      <c r="C38" s="158"/>
      <c r="D38" s="160"/>
      <c r="E38" s="160"/>
      <c r="F38" s="160"/>
      <c r="G38" s="160"/>
      <c r="H38" s="160"/>
      <c r="I38" s="160"/>
      <c r="J38" s="158"/>
      <c r="K38" s="158"/>
      <c r="L38" s="158"/>
      <c r="M38" s="158"/>
    </row>
    <row r="39" spans="1:13" s="145" customFormat="1" ht="26.25" customHeight="1">
      <c r="A39" s="159" t="s">
        <v>168</v>
      </c>
      <c r="B39" s="158" t="s">
        <v>170</v>
      </c>
      <c r="C39" s="158"/>
      <c r="D39" s="160"/>
      <c r="E39" s="160"/>
      <c r="F39" s="160"/>
      <c r="G39" s="160"/>
      <c r="H39" s="160"/>
      <c r="I39" s="160"/>
      <c r="J39" s="158"/>
      <c r="K39" s="158"/>
      <c r="L39" s="158"/>
      <c r="M39" s="158"/>
    </row>
    <row r="40" spans="1:13" ht="26.25" customHeight="1">
      <c r="A40" s="169">
        <v>-1</v>
      </c>
      <c r="B40" s="149" t="s">
        <v>177</v>
      </c>
      <c r="C40" s="149"/>
      <c r="D40" s="164"/>
      <c r="E40" s="164"/>
      <c r="F40" s="164"/>
      <c r="G40" s="164"/>
      <c r="H40" s="164"/>
      <c r="I40" s="164"/>
      <c r="J40" s="149"/>
      <c r="K40" s="149"/>
      <c r="L40" s="149"/>
      <c r="M40" s="149"/>
    </row>
    <row r="41" spans="1:13" ht="26.25" customHeight="1">
      <c r="A41" s="170" t="s">
        <v>168</v>
      </c>
      <c r="B41" s="149" t="s">
        <v>169</v>
      </c>
      <c r="C41" s="149"/>
      <c r="D41" s="164"/>
      <c r="E41" s="164"/>
      <c r="F41" s="164"/>
      <c r="G41" s="164"/>
      <c r="H41" s="164"/>
      <c r="I41" s="164"/>
      <c r="J41" s="149"/>
      <c r="K41" s="149"/>
      <c r="L41" s="149"/>
      <c r="M41" s="149"/>
    </row>
    <row r="42" spans="1:13" ht="26.25" customHeight="1">
      <c r="A42" s="170" t="s">
        <v>168</v>
      </c>
      <c r="B42" s="149" t="s">
        <v>170</v>
      </c>
      <c r="C42" s="149"/>
      <c r="D42" s="164"/>
      <c r="E42" s="164"/>
      <c r="F42" s="164"/>
      <c r="G42" s="164"/>
      <c r="H42" s="164"/>
      <c r="I42" s="164"/>
      <c r="J42" s="149"/>
      <c r="K42" s="149"/>
      <c r="L42" s="149"/>
      <c r="M42" s="149"/>
    </row>
    <row r="43" spans="1:13" ht="26.25" customHeight="1">
      <c r="A43" s="169">
        <v>-2</v>
      </c>
      <c r="B43" s="149" t="s">
        <v>177</v>
      </c>
      <c r="C43" s="149"/>
      <c r="D43" s="164"/>
      <c r="E43" s="164"/>
      <c r="F43" s="164"/>
      <c r="G43" s="164"/>
      <c r="H43" s="164"/>
      <c r="I43" s="164"/>
      <c r="J43" s="149"/>
      <c r="K43" s="149"/>
      <c r="L43" s="149"/>
      <c r="M43" s="149"/>
    </row>
    <row r="44" spans="1:13" s="145" customFormat="1" ht="26.25" customHeight="1">
      <c r="A44" s="159"/>
      <c r="B44" s="158" t="s">
        <v>81</v>
      </c>
      <c r="C44" s="158"/>
      <c r="D44" s="160"/>
      <c r="E44" s="160"/>
      <c r="F44" s="160"/>
      <c r="G44" s="160"/>
      <c r="H44" s="160"/>
      <c r="I44" s="160"/>
      <c r="J44" s="158"/>
      <c r="K44" s="158"/>
      <c r="L44" s="158"/>
      <c r="M44" s="158"/>
    </row>
    <row r="45" spans="1:13" s="145" customFormat="1" ht="26.25" customHeight="1">
      <c r="A45" s="159" t="s">
        <v>40</v>
      </c>
      <c r="B45" s="158" t="s">
        <v>40</v>
      </c>
      <c r="C45" s="158"/>
      <c r="D45" s="160"/>
      <c r="E45" s="160"/>
      <c r="F45" s="160"/>
      <c r="G45" s="160"/>
      <c r="H45" s="160"/>
      <c r="I45" s="160"/>
      <c r="J45" s="158"/>
      <c r="K45" s="158"/>
      <c r="L45" s="158"/>
      <c r="M45" s="158"/>
    </row>
    <row r="46" spans="1:13" ht="29.25" customHeight="1">
      <c r="A46" s="150" t="s">
        <v>48</v>
      </c>
      <c r="B46" s="154" t="s">
        <v>16</v>
      </c>
      <c r="C46" s="154"/>
      <c r="D46" s="151"/>
      <c r="E46" s="151"/>
      <c r="F46" s="151"/>
      <c r="G46" s="151"/>
      <c r="H46" s="151"/>
      <c r="I46" s="151"/>
      <c r="J46" s="149"/>
      <c r="K46" s="149"/>
      <c r="L46" s="149"/>
      <c r="M46" s="149"/>
    </row>
    <row r="47" spans="1:13" ht="29.25" customHeight="1">
      <c r="A47" s="147">
        <v>1</v>
      </c>
      <c r="B47" s="171" t="s">
        <v>179</v>
      </c>
      <c r="C47" s="149"/>
      <c r="D47" s="164"/>
      <c r="E47" s="164"/>
      <c r="F47" s="164"/>
      <c r="G47" s="164"/>
      <c r="H47" s="164"/>
      <c r="I47" s="164"/>
      <c r="J47" s="149"/>
      <c r="K47" s="149"/>
      <c r="L47" s="149"/>
      <c r="M47" s="149"/>
    </row>
    <row r="48" spans="1:13" ht="29.25" customHeight="1">
      <c r="A48" s="147">
        <v>2</v>
      </c>
      <c r="B48" s="171" t="s">
        <v>179</v>
      </c>
      <c r="C48" s="149"/>
      <c r="D48" s="164"/>
      <c r="E48" s="164"/>
      <c r="F48" s="164"/>
      <c r="G48" s="164"/>
      <c r="H48" s="164"/>
      <c r="I48" s="164"/>
      <c r="J48" s="149"/>
      <c r="K48" s="149"/>
      <c r="L48" s="149"/>
      <c r="M48" s="149"/>
    </row>
    <row r="49" spans="1:13" ht="29.25" customHeight="1">
      <c r="A49" s="147" t="s">
        <v>40</v>
      </c>
      <c r="B49" s="149" t="s">
        <v>40</v>
      </c>
      <c r="C49" s="149"/>
      <c r="D49" s="164"/>
      <c r="E49" s="164"/>
      <c r="F49" s="164"/>
      <c r="G49" s="164"/>
      <c r="H49" s="164"/>
      <c r="I49" s="164"/>
      <c r="J49" s="149"/>
      <c r="K49" s="149"/>
      <c r="L49" s="149"/>
      <c r="M49" s="149"/>
    </row>
    <row r="50" spans="1:13" ht="29.25" customHeight="1">
      <c r="A50" s="150" t="s">
        <v>180</v>
      </c>
      <c r="B50" s="154" t="s">
        <v>181</v>
      </c>
      <c r="C50" s="154"/>
      <c r="D50" s="151"/>
      <c r="E50" s="151"/>
      <c r="F50" s="151"/>
      <c r="G50" s="151"/>
      <c r="H50" s="151"/>
      <c r="I50" s="151"/>
      <c r="J50" s="149"/>
      <c r="K50" s="149"/>
      <c r="L50" s="149"/>
      <c r="M50" s="149"/>
    </row>
    <row r="51" spans="1:13" ht="29.25" customHeight="1">
      <c r="A51" s="147">
        <v>1</v>
      </c>
      <c r="B51" s="171" t="s">
        <v>179</v>
      </c>
      <c r="C51" s="149"/>
      <c r="D51" s="164"/>
      <c r="E51" s="164"/>
      <c r="F51" s="164"/>
      <c r="G51" s="164"/>
      <c r="H51" s="164"/>
      <c r="I51" s="164"/>
      <c r="J51" s="149"/>
      <c r="K51" s="149"/>
      <c r="L51" s="149"/>
      <c r="M51" s="149"/>
    </row>
    <row r="52" spans="1:13" ht="29.25" customHeight="1">
      <c r="A52" s="147">
        <v>2</v>
      </c>
      <c r="B52" s="171" t="s">
        <v>179</v>
      </c>
      <c r="C52" s="149"/>
      <c r="D52" s="164"/>
      <c r="E52" s="164"/>
      <c r="F52" s="164"/>
      <c r="G52" s="164"/>
      <c r="H52" s="164"/>
      <c r="I52" s="164"/>
      <c r="J52" s="149"/>
      <c r="K52" s="149"/>
      <c r="L52" s="149"/>
      <c r="M52" s="149"/>
    </row>
    <row r="53" spans="1:13" ht="29.25" customHeight="1">
      <c r="A53" s="147" t="s">
        <v>40</v>
      </c>
      <c r="B53" s="149" t="s">
        <v>40</v>
      </c>
      <c r="C53" s="149"/>
      <c r="D53" s="164"/>
      <c r="E53" s="164"/>
      <c r="F53" s="164"/>
      <c r="G53" s="164"/>
      <c r="H53" s="164"/>
      <c r="I53" s="164"/>
      <c r="J53" s="149"/>
      <c r="K53" s="149"/>
      <c r="L53" s="149"/>
      <c r="M53" s="149"/>
    </row>
    <row r="54" spans="1:13" ht="29.25" customHeight="1">
      <c r="A54" s="150" t="s">
        <v>180</v>
      </c>
      <c r="B54" s="154" t="s">
        <v>17</v>
      </c>
      <c r="C54" s="154"/>
      <c r="D54" s="151"/>
      <c r="E54" s="151"/>
      <c r="F54" s="151"/>
      <c r="G54" s="151"/>
      <c r="H54" s="151"/>
      <c r="I54" s="151"/>
      <c r="J54" s="149"/>
      <c r="K54" s="149"/>
      <c r="L54" s="149"/>
      <c r="M54" s="149"/>
    </row>
    <row r="55" spans="1:13" ht="29.25" customHeight="1">
      <c r="A55" s="147">
        <v>1</v>
      </c>
      <c r="B55" s="171" t="s">
        <v>179</v>
      </c>
      <c r="C55" s="149"/>
      <c r="D55" s="164"/>
      <c r="E55" s="164"/>
      <c r="F55" s="164"/>
      <c r="G55" s="164"/>
      <c r="H55" s="164"/>
      <c r="I55" s="164"/>
      <c r="J55" s="149"/>
      <c r="K55" s="149"/>
      <c r="L55" s="149"/>
      <c r="M55" s="149"/>
    </row>
    <row r="56" spans="1:13" ht="29.25" customHeight="1">
      <c r="A56" s="147">
        <v>2</v>
      </c>
      <c r="B56" s="171" t="s">
        <v>179</v>
      </c>
      <c r="C56" s="149"/>
      <c r="D56" s="164"/>
      <c r="E56" s="164"/>
      <c r="F56" s="164"/>
      <c r="G56" s="164"/>
      <c r="H56" s="164"/>
      <c r="I56" s="164"/>
      <c r="J56" s="149"/>
      <c r="K56" s="149"/>
      <c r="L56" s="149"/>
      <c r="M56" s="149"/>
    </row>
    <row r="57" spans="1:13" ht="29.25" customHeight="1">
      <c r="A57" s="147" t="s">
        <v>40</v>
      </c>
      <c r="B57" s="149" t="s">
        <v>40</v>
      </c>
      <c r="C57" s="149"/>
      <c r="D57" s="164"/>
      <c r="E57" s="164"/>
      <c r="F57" s="164"/>
      <c r="G57" s="164"/>
      <c r="H57" s="164"/>
      <c r="I57" s="164"/>
      <c r="J57" s="149"/>
      <c r="K57" s="149"/>
      <c r="L57" s="149"/>
      <c r="M57" s="149"/>
    </row>
    <row r="58" spans="1:13" ht="39.75" customHeight="1">
      <c r="A58" s="150" t="s">
        <v>136</v>
      </c>
      <c r="B58" s="154" t="s">
        <v>18</v>
      </c>
      <c r="C58" s="154"/>
      <c r="D58" s="151"/>
      <c r="E58" s="151"/>
      <c r="F58" s="151"/>
      <c r="G58" s="151"/>
      <c r="H58" s="151"/>
      <c r="I58" s="151"/>
      <c r="J58" s="149"/>
      <c r="K58" s="149"/>
      <c r="L58" s="149"/>
      <c r="M58" s="149"/>
    </row>
    <row r="59" spans="1:13" ht="31.5" customHeight="1">
      <c r="A59" s="147">
        <v>1</v>
      </c>
      <c r="B59" s="171" t="s">
        <v>179</v>
      </c>
      <c r="C59" s="149"/>
      <c r="D59" s="164"/>
      <c r="E59" s="164"/>
      <c r="F59" s="164"/>
      <c r="G59" s="164"/>
      <c r="H59" s="164"/>
      <c r="I59" s="164"/>
      <c r="J59" s="149"/>
      <c r="K59" s="149"/>
      <c r="L59" s="149"/>
      <c r="M59" s="149"/>
    </row>
    <row r="60" spans="1:13" ht="31.5" customHeight="1">
      <c r="A60" s="147">
        <v>2</v>
      </c>
      <c r="B60" s="171" t="s">
        <v>179</v>
      </c>
      <c r="C60" s="149"/>
      <c r="D60" s="164"/>
      <c r="E60" s="164"/>
      <c r="F60" s="164"/>
      <c r="G60" s="164"/>
      <c r="H60" s="164"/>
      <c r="I60" s="164"/>
      <c r="J60" s="149"/>
      <c r="K60" s="149"/>
      <c r="L60" s="149"/>
      <c r="M60" s="149"/>
    </row>
    <row r="61" spans="1:13" ht="31.5" customHeight="1">
      <c r="A61" s="147" t="s">
        <v>40</v>
      </c>
      <c r="B61" s="149" t="s">
        <v>40</v>
      </c>
      <c r="C61" s="149"/>
      <c r="D61" s="164"/>
      <c r="E61" s="164"/>
      <c r="F61" s="164"/>
      <c r="G61" s="164"/>
      <c r="H61" s="164"/>
      <c r="I61" s="164"/>
      <c r="J61" s="149"/>
      <c r="K61" s="149"/>
      <c r="L61" s="149"/>
      <c r="M61" s="149"/>
    </row>
    <row r="62" spans="1:13" ht="53.25" customHeight="1">
      <c r="A62" s="150" t="s">
        <v>138</v>
      </c>
      <c r="B62" s="154" t="s">
        <v>182</v>
      </c>
      <c r="C62" s="154"/>
      <c r="D62" s="151"/>
      <c r="E62" s="151"/>
      <c r="F62" s="151"/>
      <c r="G62" s="151"/>
      <c r="H62" s="151"/>
      <c r="I62" s="151"/>
      <c r="J62" s="149"/>
      <c r="K62" s="149"/>
      <c r="L62" s="149"/>
      <c r="M62" s="149"/>
    </row>
    <row r="63" spans="1:13" ht="28.5" customHeight="1">
      <c r="A63" s="147">
        <v>1</v>
      </c>
      <c r="B63" s="171" t="s">
        <v>179</v>
      </c>
      <c r="C63" s="149"/>
      <c r="D63" s="164"/>
      <c r="E63" s="164"/>
      <c r="F63" s="164"/>
      <c r="G63" s="164"/>
      <c r="H63" s="164"/>
      <c r="I63" s="164"/>
      <c r="J63" s="149"/>
      <c r="K63" s="149"/>
      <c r="L63" s="149"/>
      <c r="M63" s="149"/>
    </row>
    <row r="64" spans="1:13" ht="28.5" customHeight="1">
      <c r="A64" s="147">
        <v>2</v>
      </c>
      <c r="B64" s="171" t="s">
        <v>179</v>
      </c>
      <c r="C64" s="149"/>
      <c r="D64" s="164"/>
      <c r="E64" s="164"/>
      <c r="F64" s="164"/>
      <c r="G64" s="164"/>
      <c r="H64" s="164"/>
      <c r="I64" s="164"/>
      <c r="J64" s="149"/>
      <c r="K64" s="149"/>
      <c r="L64" s="149"/>
      <c r="M64" s="149"/>
    </row>
    <row r="65" spans="1:13" ht="28.5" customHeight="1">
      <c r="A65" s="147" t="s">
        <v>40</v>
      </c>
      <c r="B65" s="149" t="s">
        <v>40</v>
      </c>
      <c r="C65" s="149"/>
      <c r="D65" s="164"/>
      <c r="E65" s="164"/>
      <c r="F65" s="164"/>
      <c r="G65" s="164"/>
      <c r="H65" s="164"/>
      <c r="I65" s="164"/>
      <c r="J65" s="149"/>
      <c r="K65" s="149"/>
      <c r="L65" s="149"/>
      <c r="M65" s="149"/>
    </row>
    <row r="66" spans="1:13" ht="30" hidden="1" customHeight="1">
      <c r="A66" s="150" t="s">
        <v>183</v>
      </c>
      <c r="B66" s="154" t="s">
        <v>17</v>
      </c>
      <c r="C66" s="154"/>
      <c r="D66" s="151"/>
      <c r="E66" s="151"/>
      <c r="F66" s="151"/>
      <c r="G66" s="151"/>
      <c r="H66" s="151"/>
      <c r="I66" s="151"/>
      <c r="J66" s="149"/>
      <c r="K66" s="149"/>
      <c r="L66" s="149"/>
      <c r="M66" s="149"/>
    </row>
    <row r="67" spans="1:13" ht="30" hidden="1" customHeight="1">
      <c r="A67" s="147">
        <v>1</v>
      </c>
      <c r="B67" s="171" t="s">
        <v>184</v>
      </c>
      <c r="C67" s="149"/>
      <c r="D67" s="164"/>
      <c r="E67" s="164"/>
      <c r="F67" s="164"/>
      <c r="G67" s="164"/>
      <c r="H67" s="164"/>
      <c r="I67" s="164"/>
      <c r="J67" s="149"/>
      <c r="K67" s="149"/>
      <c r="L67" s="149"/>
      <c r="M67" s="149"/>
    </row>
    <row r="68" spans="1:13" ht="30" hidden="1" customHeight="1">
      <c r="A68" s="147">
        <v>2</v>
      </c>
      <c r="B68" s="171" t="s">
        <v>184</v>
      </c>
      <c r="C68" s="149"/>
      <c r="D68" s="164"/>
      <c r="E68" s="164"/>
      <c r="F68" s="164"/>
      <c r="G68" s="164"/>
      <c r="H68" s="164"/>
      <c r="I68" s="164"/>
      <c r="J68" s="149"/>
      <c r="K68" s="149"/>
      <c r="L68" s="149"/>
      <c r="M68" s="149"/>
    </row>
    <row r="69" spans="1:13" ht="30" hidden="1" customHeight="1">
      <c r="A69" s="147" t="s">
        <v>40</v>
      </c>
      <c r="B69" s="149" t="s">
        <v>40</v>
      </c>
      <c r="C69" s="149"/>
      <c r="D69" s="164"/>
      <c r="E69" s="164"/>
      <c r="F69" s="164"/>
      <c r="G69" s="164"/>
      <c r="H69" s="164"/>
      <c r="I69" s="164"/>
      <c r="J69" s="149"/>
      <c r="K69" s="149"/>
      <c r="L69" s="149"/>
      <c r="M69" s="149"/>
    </row>
    <row r="70" spans="1:13" ht="39.75" customHeight="1">
      <c r="A70" s="150" t="s">
        <v>185</v>
      </c>
      <c r="B70" s="154" t="s">
        <v>186</v>
      </c>
      <c r="C70" s="154"/>
      <c r="D70" s="151"/>
      <c r="E70" s="151"/>
      <c r="F70" s="151"/>
      <c r="G70" s="151"/>
      <c r="H70" s="151"/>
      <c r="I70" s="151"/>
      <c r="J70" s="149"/>
      <c r="K70" s="149"/>
      <c r="L70" s="149"/>
      <c r="M70" s="149"/>
    </row>
    <row r="71" spans="1:13" ht="28.5" customHeight="1">
      <c r="A71" s="147">
        <v>1</v>
      </c>
      <c r="B71" s="171" t="s">
        <v>179</v>
      </c>
      <c r="C71" s="149"/>
      <c r="D71" s="164"/>
      <c r="E71" s="164"/>
      <c r="F71" s="164"/>
      <c r="G71" s="164"/>
      <c r="H71" s="164"/>
      <c r="I71" s="164"/>
      <c r="J71" s="149"/>
      <c r="K71" s="149"/>
      <c r="L71" s="149"/>
      <c r="M71" s="149"/>
    </row>
    <row r="72" spans="1:13" ht="28.5" customHeight="1">
      <c r="A72" s="147">
        <v>2</v>
      </c>
      <c r="B72" s="171" t="s">
        <v>179</v>
      </c>
      <c r="C72" s="149"/>
      <c r="D72" s="164"/>
      <c r="E72" s="164"/>
      <c r="F72" s="164"/>
      <c r="G72" s="164"/>
      <c r="H72" s="164"/>
      <c r="I72" s="164"/>
      <c r="J72" s="149"/>
      <c r="K72" s="149"/>
      <c r="L72" s="149"/>
      <c r="M72" s="149"/>
    </row>
    <row r="73" spans="1:13" ht="28.5" customHeight="1">
      <c r="A73" s="147" t="s">
        <v>40</v>
      </c>
      <c r="B73" s="149" t="s">
        <v>40</v>
      </c>
      <c r="C73" s="149"/>
      <c r="D73" s="164"/>
      <c r="E73" s="164"/>
      <c r="F73" s="164"/>
      <c r="G73" s="164"/>
      <c r="H73" s="164"/>
      <c r="I73" s="164"/>
      <c r="J73" s="149"/>
      <c r="K73" s="149"/>
      <c r="L73" s="149"/>
      <c r="M73" s="149"/>
    </row>
    <row r="74" spans="1:13" ht="12" customHeight="1">
      <c r="A74" s="147"/>
      <c r="B74" s="149"/>
      <c r="C74" s="149"/>
      <c r="D74" s="164"/>
      <c r="E74" s="164"/>
      <c r="F74" s="164"/>
      <c r="G74" s="164"/>
      <c r="H74" s="164"/>
      <c r="I74" s="164"/>
      <c r="J74" s="149"/>
      <c r="K74" s="149"/>
      <c r="L74" s="149"/>
      <c r="M74" s="149"/>
    </row>
    <row r="76" spans="1:13">
      <c r="B76" s="172" t="s">
        <v>19</v>
      </c>
      <c r="C76" s="172"/>
    </row>
    <row r="77" spans="1:13">
      <c r="B77" s="173" t="s">
        <v>20</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S72"/>
  <sheetViews>
    <sheetView zoomScalePageLayoutView="75" workbookViewId="0">
      <selection activeCell="A2" sqref="A2:I2"/>
    </sheetView>
  </sheetViews>
  <sheetFormatPr defaultColWidth="9.125" defaultRowHeight="14.25"/>
  <cols>
    <col min="1" max="1" width="6.25" style="188" customWidth="1"/>
    <col min="2" max="2" width="42.75" style="174" customWidth="1"/>
    <col min="3" max="9" width="11" style="174" customWidth="1"/>
    <col min="10" max="10" width="10.25" style="174" customWidth="1"/>
    <col min="11" max="11" width="11" style="174" customWidth="1"/>
    <col min="12" max="16384" width="9.125" style="174"/>
  </cols>
  <sheetData>
    <row r="1" spans="1:17" ht="23.25" customHeight="1">
      <c r="A1" s="936" t="s">
        <v>194</v>
      </c>
      <c r="B1" s="936"/>
      <c r="C1" s="936"/>
      <c r="D1" s="936"/>
      <c r="E1" s="936"/>
      <c r="F1" s="936"/>
      <c r="G1" s="936"/>
      <c r="H1" s="936"/>
      <c r="I1" s="936"/>
      <c r="J1" s="947" t="s">
        <v>0</v>
      </c>
      <c r="K1" s="947"/>
      <c r="L1" s="947"/>
      <c r="M1" s="947"/>
      <c r="N1" s="947"/>
      <c r="O1" s="947"/>
      <c r="P1" s="947"/>
      <c r="Q1" s="947"/>
    </row>
    <row r="2" spans="1:17" ht="19.5" customHeight="1">
      <c r="A2" s="937" t="s">
        <v>1</v>
      </c>
      <c r="B2" s="937"/>
      <c r="C2" s="937"/>
      <c r="D2" s="937"/>
      <c r="E2" s="937"/>
      <c r="F2" s="937"/>
      <c r="G2" s="937"/>
      <c r="H2" s="937"/>
      <c r="I2" s="937"/>
      <c r="J2" s="948" t="s">
        <v>2</v>
      </c>
      <c r="K2" s="948"/>
      <c r="L2" s="948"/>
      <c r="M2" s="948"/>
      <c r="N2" s="948"/>
      <c r="O2" s="948"/>
      <c r="P2" s="948"/>
      <c r="Q2" s="948"/>
    </row>
    <row r="3" spans="1:17" ht="21.75" customHeight="1">
      <c r="A3" s="949" t="s">
        <v>156</v>
      </c>
      <c r="B3" s="949"/>
      <c r="C3" s="949"/>
      <c r="D3" s="949"/>
      <c r="E3" s="949"/>
      <c r="F3" s="949"/>
      <c r="G3" s="949"/>
      <c r="H3" s="949"/>
      <c r="I3" s="949"/>
      <c r="J3" s="949"/>
      <c r="K3" s="949"/>
      <c r="L3" s="949"/>
      <c r="M3" s="949"/>
      <c r="N3" s="949"/>
      <c r="O3" s="949"/>
      <c r="P3" s="949"/>
      <c r="Q3" s="949"/>
    </row>
    <row r="4" spans="1:17" ht="16.5">
      <c r="A4" s="175"/>
      <c r="B4" s="143"/>
      <c r="C4" s="143"/>
      <c r="D4" s="143"/>
      <c r="E4" s="143"/>
      <c r="F4" s="143"/>
      <c r="G4" s="143"/>
      <c r="H4" s="143"/>
      <c r="I4" s="143"/>
      <c r="J4" s="143"/>
      <c r="K4" s="143"/>
    </row>
    <row r="5" spans="1:17" ht="20.25" customHeight="1">
      <c r="A5" s="936" t="s">
        <v>195</v>
      </c>
      <c r="B5" s="936"/>
      <c r="C5" s="936"/>
      <c r="D5" s="936"/>
      <c r="E5" s="936"/>
      <c r="F5" s="936"/>
      <c r="G5" s="936"/>
      <c r="H5" s="936"/>
      <c r="I5" s="936"/>
      <c r="J5" s="936"/>
      <c r="K5" s="936"/>
      <c r="L5" s="936"/>
      <c r="M5" s="936"/>
      <c r="N5" s="936"/>
      <c r="O5" s="936"/>
      <c r="P5" s="936"/>
      <c r="Q5" s="936"/>
    </row>
    <row r="6" spans="1:17" ht="23.25" customHeight="1">
      <c r="A6" s="936" t="s">
        <v>187</v>
      </c>
      <c r="B6" s="936"/>
      <c r="C6" s="936"/>
      <c r="D6" s="936"/>
      <c r="E6" s="936"/>
      <c r="F6" s="936"/>
      <c r="G6" s="936"/>
      <c r="H6" s="936"/>
      <c r="I6" s="936"/>
      <c r="J6" s="936"/>
      <c r="K6" s="936"/>
      <c r="L6" s="936"/>
      <c r="M6" s="936"/>
      <c r="N6" s="936"/>
      <c r="O6" s="936"/>
      <c r="P6" s="936"/>
      <c r="Q6" s="936"/>
    </row>
    <row r="7" spans="1:17" ht="19.5" customHeight="1">
      <c r="A7" s="937"/>
      <c r="B7" s="937"/>
      <c r="C7" s="937"/>
      <c r="D7" s="937"/>
      <c r="E7" s="937"/>
      <c r="F7" s="937"/>
      <c r="G7" s="937"/>
      <c r="H7" s="937"/>
      <c r="I7" s="937"/>
      <c r="J7" s="937"/>
      <c r="K7" s="937"/>
      <c r="L7" s="937"/>
      <c r="M7" s="937"/>
      <c r="N7" s="937"/>
      <c r="O7" s="937"/>
      <c r="P7" s="937"/>
      <c r="Q7" s="937"/>
    </row>
    <row r="8" spans="1:17" ht="21.75" customHeight="1">
      <c r="A8" s="176"/>
      <c r="B8" s="145"/>
      <c r="C8" s="145"/>
      <c r="D8" s="145"/>
      <c r="E8" s="145"/>
      <c r="F8" s="145"/>
      <c r="M8" s="945" t="s">
        <v>3</v>
      </c>
      <c r="N8" s="945"/>
      <c r="O8" s="945"/>
      <c r="P8" s="945"/>
      <c r="Q8" s="945"/>
    </row>
    <row r="9" spans="1:17" ht="56.25" customHeight="1">
      <c r="A9" s="946" t="s">
        <v>4</v>
      </c>
      <c r="B9" s="944" t="s">
        <v>158</v>
      </c>
      <c r="C9" s="944" t="s">
        <v>57</v>
      </c>
      <c r="D9" s="944"/>
      <c r="E9" s="944"/>
      <c r="F9" s="935" t="s">
        <v>188</v>
      </c>
      <c r="G9" s="935"/>
      <c r="H9" s="935"/>
      <c r="I9" s="935" t="s">
        <v>189</v>
      </c>
      <c r="J9" s="935"/>
      <c r="K9" s="935"/>
      <c r="L9" s="935" t="s">
        <v>190</v>
      </c>
      <c r="M9" s="935"/>
      <c r="N9" s="935"/>
      <c r="O9" s="935"/>
      <c r="P9" s="935"/>
      <c r="Q9" s="935"/>
    </row>
    <row r="10" spans="1:17" ht="35.25" customHeight="1">
      <c r="A10" s="946"/>
      <c r="B10" s="944"/>
      <c r="C10" s="944" t="s">
        <v>9</v>
      </c>
      <c r="D10" s="944" t="s">
        <v>10</v>
      </c>
      <c r="E10" s="944" t="s">
        <v>12</v>
      </c>
      <c r="F10" s="935" t="s">
        <v>9</v>
      </c>
      <c r="G10" s="935" t="s">
        <v>10</v>
      </c>
      <c r="H10" s="935" t="s">
        <v>12</v>
      </c>
      <c r="I10" s="935" t="s">
        <v>9</v>
      </c>
      <c r="J10" s="935" t="s">
        <v>10</v>
      </c>
      <c r="K10" s="935" t="s">
        <v>12</v>
      </c>
      <c r="L10" s="935" t="s">
        <v>191</v>
      </c>
      <c r="M10" s="935"/>
      <c r="N10" s="935"/>
      <c r="O10" s="935" t="s">
        <v>192</v>
      </c>
      <c r="P10" s="935"/>
      <c r="Q10" s="935"/>
    </row>
    <row r="11" spans="1:17" ht="33" customHeight="1">
      <c r="A11" s="946"/>
      <c r="B11" s="944"/>
      <c r="C11" s="944"/>
      <c r="D11" s="944"/>
      <c r="E11" s="944"/>
      <c r="F11" s="935"/>
      <c r="G11" s="935"/>
      <c r="H11" s="935"/>
      <c r="I11" s="935"/>
      <c r="J11" s="935"/>
      <c r="K11" s="935"/>
      <c r="L11" s="147" t="s">
        <v>9</v>
      </c>
      <c r="M11" s="147" t="s">
        <v>10</v>
      </c>
      <c r="N11" s="147" t="s">
        <v>11</v>
      </c>
      <c r="O11" s="147" t="s">
        <v>9</v>
      </c>
      <c r="P11" s="147" t="s">
        <v>10</v>
      </c>
      <c r="Q11" s="147" t="s">
        <v>11</v>
      </c>
    </row>
    <row r="12" spans="1:17" s="179" customFormat="1" ht="18.75">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165</v>
      </c>
      <c r="C13" s="181"/>
      <c r="D13" s="181"/>
      <c r="E13" s="181"/>
      <c r="F13" s="182"/>
      <c r="G13" s="182"/>
      <c r="H13" s="182"/>
      <c r="I13" s="182"/>
      <c r="J13" s="182"/>
      <c r="K13" s="182"/>
      <c r="L13" s="182"/>
      <c r="M13" s="182"/>
      <c r="N13" s="182"/>
      <c r="O13" s="182"/>
      <c r="P13" s="182"/>
      <c r="Q13" s="182"/>
    </row>
    <row r="14" spans="1:17" s="185" customFormat="1" ht="24.75" customHeight="1">
      <c r="A14" s="150" t="s">
        <v>32</v>
      </c>
      <c r="B14" s="152" t="s">
        <v>166</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167</v>
      </c>
      <c r="C15" s="183"/>
      <c r="D15" s="183"/>
      <c r="E15" s="183"/>
      <c r="F15" s="184"/>
      <c r="G15" s="184"/>
      <c r="H15" s="184"/>
      <c r="I15" s="184"/>
      <c r="J15" s="184"/>
      <c r="K15" s="184"/>
      <c r="L15" s="184"/>
      <c r="M15" s="184"/>
      <c r="N15" s="184"/>
      <c r="O15" s="184"/>
      <c r="P15" s="184"/>
      <c r="Q15" s="184"/>
    </row>
    <row r="16" spans="1:17" s="185" customFormat="1" ht="24.75" customHeight="1">
      <c r="A16" s="155"/>
      <c r="B16" s="156" t="s">
        <v>14</v>
      </c>
      <c r="C16" s="183"/>
      <c r="D16" s="183"/>
      <c r="E16" s="183"/>
      <c r="F16" s="184"/>
      <c r="G16" s="184"/>
      <c r="H16" s="184"/>
      <c r="I16" s="184"/>
      <c r="J16" s="184"/>
      <c r="K16" s="184"/>
      <c r="L16" s="184"/>
      <c r="M16" s="184"/>
      <c r="N16" s="184"/>
      <c r="O16" s="184"/>
      <c r="P16" s="184"/>
      <c r="Q16" s="184"/>
    </row>
    <row r="17" spans="1:17" s="185" customFormat="1" ht="24.75" customHeight="1">
      <c r="A17" s="159" t="s">
        <v>168</v>
      </c>
      <c r="B17" s="158" t="s">
        <v>169</v>
      </c>
      <c r="C17" s="183"/>
      <c r="D17" s="183"/>
      <c r="E17" s="183"/>
      <c r="F17" s="184"/>
      <c r="G17" s="184"/>
      <c r="H17" s="184"/>
      <c r="I17" s="184"/>
      <c r="J17" s="184"/>
      <c r="K17" s="184"/>
      <c r="L17" s="184"/>
      <c r="M17" s="184"/>
      <c r="N17" s="184"/>
      <c r="O17" s="184"/>
      <c r="P17" s="184"/>
      <c r="Q17" s="184"/>
    </row>
    <row r="18" spans="1:17" s="185" customFormat="1" ht="24.75" customHeight="1">
      <c r="A18" s="159" t="s">
        <v>168</v>
      </c>
      <c r="B18" s="158" t="s">
        <v>170</v>
      </c>
      <c r="C18" s="183"/>
      <c r="D18" s="183"/>
      <c r="E18" s="183"/>
      <c r="F18" s="184"/>
      <c r="G18" s="184"/>
      <c r="H18" s="184"/>
      <c r="I18" s="184"/>
      <c r="J18" s="184"/>
      <c r="K18" s="184"/>
      <c r="L18" s="184"/>
      <c r="M18" s="184"/>
      <c r="N18" s="184"/>
      <c r="O18" s="184"/>
      <c r="P18" s="184"/>
      <c r="Q18" s="184"/>
    </row>
    <row r="19" spans="1:17" s="185" customFormat="1" ht="33">
      <c r="A19" s="161" t="s">
        <v>35</v>
      </c>
      <c r="B19" s="162" t="s">
        <v>171</v>
      </c>
      <c r="C19" s="183"/>
      <c r="D19" s="183"/>
      <c r="E19" s="183"/>
      <c r="F19" s="184"/>
      <c r="G19" s="184"/>
      <c r="H19" s="184"/>
      <c r="I19" s="184"/>
      <c r="J19" s="184"/>
      <c r="K19" s="184"/>
      <c r="L19" s="184"/>
      <c r="M19" s="184"/>
      <c r="N19" s="184"/>
      <c r="O19" s="184"/>
      <c r="P19" s="184"/>
      <c r="Q19" s="184"/>
    </row>
    <row r="20" spans="1:17" s="185" customFormat="1" ht="24.75" customHeight="1">
      <c r="A20" s="161" t="s">
        <v>42</v>
      </c>
      <c r="B20" s="162" t="s">
        <v>174</v>
      </c>
      <c r="C20" s="183"/>
      <c r="D20" s="183"/>
      <c r="E20" s="183"/>
      <c r="F20" s="184"/>
      <c r="G20" s="184"/>
      <c r="H20" s="184"/>
      <c r="I20" s="184"/>
      <c r="J20" s="184"/>
      <c r="K20" s="184"/>
      <c r="L20" s="184"/>
      <c r="M20" s="184"/>
      <c r="N20" s="184"/>
      <c r="O20" s="184"/>
      <c r="P20" s="184"/>
      <c r="Q20" s="184"/>
    </row>
    <row r="21" spans="1:17" s="185" customFormat="1" ht="30" customHeight="1">
      <c r="A21" s="150">
        <v>2</v>
      </c>
      <c r="B21" s="165" t="s">
        <v>175</v>
      </c>
      <c r="C21" s="183"/>
      <c r="D21" s="183"/>
      <c r="E21" s="183"/>
      <c r="F21" s="184"/>
      <c r="G21" s="184"/>
      <c r="H21" s="184"/>
      <c r="I21" s="184"/>
      <c r="J21" s="184"/>
      <c r="K21" s="184"/>
      <c r="L21" s="184"/>
      <c r="M21" s="184"/>
      <c r="N21" s="184"/>
      <c r="O21" s="184"/>
      <c r="P21" s="184"/>
      <c r="Q21" s="184"/>
    </row>
    <row r="22" spans="1:17" s="185" customFormat="1" ht="24.75" customHeight="1">
      <c r="A22" s="155"/>
      <c r="B22" s="156" t="s">
        <v>14</v>
      </c>
      <c r="C22" s="183"/>
      <c r="D22" s="183"/>
      <c r="E22" s="183"/>
      <c r="F22" s="184"/>
      <c r="G22" s="184"/>
      <c r="H22" s="184"/>
      <c r="I22" s="184"/>
      <c r="J22" s="184"/>
      <c r="K22" s="184"/>
      <c r="L22" s="184"/>
      <c r="M22" s="184"/>
      <c r="N22" s="184"/>
      <c r="O22" s="184"/>
      <c r="P22" s="184"/>
      <c r="Q22" s="184"/>
    </row>
    <row r="23" spans="1:17" s="185" customFormat="1" ht="24.75" customHeight="1">
      <c r="A23" s="159" t="s">
        <v>168</v>
      </c>
      <c r="B23" s="158" t="s">
        <v>169</v>
      </c>
      <c r="C23" s="183"/>
      <c r="D23" s="183"/>
      <c r="E23" s="183"/>
      <c r="F23" s="184"/>
      <c r="G23" s="184"/>
      <c r="H23" s="184"/>
      <c r="I23" s="184"/>
      <c r="J23" s="184"/>
      <c r="K23" s="184"/>
      <c r="L23" s="184"/>
      <c r="M23" s="184"/>
      <c r="N23" s="184"/>
      <c r="O23" s="184"/>
      <c r="P23" s="184"/>
      <c r="Q23" s="184"/>
    </row>
    <row r="24" spans="1:17" s="185" customFormat="1" ht="24.75" customHeight="1">
      <c r="A24" s="159" t="s">
        <v>168</v>
      </c>
      <c r="B24" s="158" t="s">
        <v>170</v>
      </c>
      <c r="C24" s="183"/>
      <c r="D24" s="183"/>
      <c r="E24" s="183"/>
      <c r="F24" s="184"/>
      <c r="G24" s="184"/>
      <c r="H24" s="184"/>
      <c r="I24" s="184"/>
      <c r="J24" s="184"/>
      <c r="K24" s="184"/>
      <c r="L24" s="184"/>
      <c r="M24" s="184"/>
      <c r="N24" s="184"/>
      <c r="O24" s="184"/>
      <c r="P24" s="184"/>
      <c r="Q24" s="184"/>
    </row>
    <row r="25" spans="1:17" s="185" customFormat="1" ht="24.75" customHeight="1">
      <c r="A25" s="166" t="s">
        <v>35</v>
      </c>
      <c r="B25" s="167" t="s">
        <v>176</v>
      </c>
      <c r="C25" s="183"/>
      <c r="D25" s="183"/>
      <c r="E25" s="183"/>
      <c r="F25" s="184"/>
      <c r="G25" s="184"/>
      <c r="H25" s="184"/>
      <c r="I25" s="184"/>
      <c r="J25" s="184"/>
      <c r="K25" s="184"/>
      <c r="L25" s="184"/>
      <c r="M25" s="184"/>
      <c r="N25" s="184"/>
      <c r="O25" s="184"/>
      <c r="P25" s="184"/>
      <c r="Q25" s="184"/>
    </row>
    <row r="26" spans="1:17" s="185" customFormat="1" ht="24.75" customHeight="1">
      <c r="A26" s="155"/>
      <c r="B26" s="156" t="s">
        <v>14</v>
      </c>
      <c r="C26" s="183"/>
      <c r="D26" s="183"/>
      <c r="E26" s="183"/>
      <c r="F26" s="184"/>
      <c r="G26" s="184"/>
      <c r="H26" s="184"/>
      <c r="I26" s="184"/>
      <c r="J26" s="184"/>
      <c r="K26" s="184"/>
      <c r="L26" s="184"/>
      <c r="M26" s="184"/>
      <c r="N26" s="184"/>
      <c r="O26" s="184"/>
      <c r="P26" s="184"/>
      <c r="Q26" s="184"/>
    </row>
    <row r="27" spans="1:17" s="185" customFormat="1" ht="24.75" customHeight="1">
      <c r="A27" s="159" t="s">
        <v>168</v>
      </c>
      <c r="B27" s="158" t="s">
        <v>169</v>
      </c>
      <c r="C27" s="183"/>
      <c r="D27" s="183"/>
      <c r="E27" s="183"/>
      <c r="F27" s="184"/>
      <c r="G27" s="184"/>
      <c r="H27" s="184"/>
      <c r="I27" s="184"/>
      <c r="J27" s="184"/>
      <c r="K27" s="184"/>
      <c r="L27" s="184"/>
      <c r="M27" s="184"/>
      <c r="N27" s="184"/>
      <c r="O27" s="184"/>
      <c r="P27" s="184"/>
      <c r="Q27" s="184"/>
    </row>
    <row r="28" spans="1:17" s="185" customFormat="1" ht="24.75" customHeight="1">
      <c r="A28" s="159" t="s">
        <v>168</v>
      </c>
      <c r="B28" s="158" t="s">
        <v>170</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177</v>
      </c>
      <c r="C29" s="183"/>
      <c r="D29" s="183"/>
      <c r="E29" s="183"/>
      <c r="F29" s="184"/>
      <c r="G29" s="184"/>
      <c r="H29" s="184"/>
      <c r="I29" s="184"/>
      <c r="J29" s="184"/>
      <c r="K29" s="184"/>
      <c r="L29" s="184"/>
      <c r="M29" s="184"/>
      <c r="N29" s="184"/>
      <c r="O29" s="184"/>
      <c r="P29" s="184"/>
      <c r="Q29" s="184"/>
    </row>
    <row r="30" spans="1:17" s="185" customFormat="1" ht="24.75" customHeight="1">
      <c r="A30" s="170" t="s">
        <v>168</v>
      </c>
      <c r="B30" s="149" t="s">
        <v>169</v>
      </c>
      <c r="C30" s="183"/>
      <c r="D30" s="183"/>
      <c r="E30" s="183"/>
      <c r="F30" s="184"/>
      <c r="G30" s="184"/>
      <c r="H30" s="184"/>
      <c r="I30" s="184"/>
      <c r="J30" s="184"/>
      <c r="K30" s="184"/>
      <c r="L30" s="184"/>
      <c r="M30" s="184"/>
      <c r="N30" s="184"/>
      <c r="O30" s="184"/>
      <c r="P30" s="184"/>
      <c r="Q30" s="184"/>
    </row>
    <row r="31" spans="1:17" s="185" customFormat="1" ht="24.75" customHeight="1">
      <c r="A31" s="170" t="s">
        <v>168</v>
      </c>
      <c r="B31" s="149" t="s">
        <v>170</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177</v>
      </c>
      <c r="C32" s="183"/>
      <c r="D32" s="183"/>
      <c r="E32" s="183"/>
      <c r="F32" s="184"/>
      <c r="G32" s="184"/>
      <c r="H32" s="184"/>
      <c r="I32" s="184"/>
      <c r="J32" s="184"/>
      <c r="K32" s="184"/>
      <c r="L32" s="184"/>
      <c r="M32" s="184"/>
      <c r="N32" s="184"/>
      <c r="O32" s="184"/>
      <c r="P32" s="184"/>
      <c r="Q32" s="184"/>
    </row>
    <row r="33" spans="1:17" s="185" customFormat="1" ht="24.75" customHeight="1">
      <c r="A33" s="159"/>
      <c r="B33" s="158" t="s">
        <v>81</v>
      </c>
      <c r="C33" s="183"/>
      <c r="D33" s="183"/>
      <c r="E33" s="183"/>
      <c r="F33" s="184"/>
      <c r="G33" s="184"/>
      <c r="H33" s="184"/>
      <c r="I33" s="184"/>
      <c r="J33" s="184"/>
      <c r="K33" s="184"/>
      <c r="L33" s="184"/>
      <c r="M33" s="184"/>
      <c r="N33" s="184"/>
      <c r="O33" s="184"/>
      <c r="P33" s="184"/>
      <c r="Q33" s="184"/>
    </row>
    <row r="34" spans="1:17" s="185" customFormat="1" ht="24.75" customHeight="1">
      <c r="A34" s="159" t="s">
        <v>40</v>
      </c>
      <c r="B34" s="158" t="s">
        <v>40</v>
      </c>
      <c r="C34" s="183"/>
      <c r="D34" s="183"/>
      <c r="E34" s="183"/>
      <c r="F34" s="184"/>
      <c r="G34" s="184"/>
      <c r="H34" s="184"/>
      <c r="I34" s="184"/>
      <c r="J34" s="184"/>
      <c r="K34" s="184"/>
      <c r="L34" s="184"/>
      <c r="M34" s="184"/>
      <c r="N34" s="184"/>
      <c r="O34" s="184"/>
      <c r="P34" s="184"/>
      <c r="Q34" s="184"/>
    </row>
    <row r="35" spans="1:17" s="185" customFormat="1" ht="24.75" customHeight="1">
      <c r="A35" s="166" t="s">
        <v>42</v>
      </c>
      <c r="B35" s="167" t="s">
        <v>178</v>
      </c>
      <c r="C35" s="183"/>
      <c r="D35" s="183"/>
      <c r="E35" s="183"/>
      <c r="F35" s="184"/>
      <c r="G35" s="184"/>
      <c r="H35" s="184"/>
      <c r="I35" s="184"/>
      <c r="J35" s="184"/>
      <c r="K35" s="184"/>
      <c r="L35" s="184"/>
      <c r="M35" s="184"/>
      <c r="N35" s="184"/>
      <c r="O35" s="184"/>
      <c r="P35" s="184"/>
      <c r="Q35" s="184"/>
    </row>
    <row r="36" spans="1:17" s="185" customFormat="1" ht="24.75" customHeight="1">
      <c r="A36" s="155"/>
      <c r="B36" s="156" t="s">
        <v>14</v>
      </c>
      <c r="C36" s="183"/>
      <c r="D36" s="183"/>
      <c r="E36" s="183"/>
      <c r="F36" s="184"/>
      <c r="G36" s="184"/>
      <c r="H36" s="184"/>
      <c r="I36" s="184"/>
      <c r="J36" s="184"/>
      <c r="K36" s="184"/>
      <c r="L36" s="184"/>
      <c r="M36" s="184"/>
      <c r="N36" s="184"/>
      <c r="O36" s="184"/>
      <c r="P36" s="184"/>
      <c r="Q36" s="184"/>
    </row>
    <row r="37" spans="1:17" s="185" customFormat="1" ht="24.75" customHeight="1">
      <c r="A37" s="159" t="s">
        <v>168</v>
      </c>
      <c r="B37" s="158" t="s">
        <v>169</v>
      </c>
      <c r="C37" s="183"/>
      <c r="D37" s="183"/>
      <c r="E37" s="183"/>
      <c r="F37" s="184"/>
      <c r="G37" s="184"/>
      <c r="H37" s="184"/>
      <c r="I37" s="184"/>
      <c r="J37" s="184"/>
      <c r="K37" s="184"/>
      <c r="L37" s="184"/>
      <c r="M37" s="184"/>
      <c r="N37" s="184"/>
      <c r="O37" s="184"/>
      <c r="P37" s="184"/>
      <c r="Q37" s="184"/>
    </row>
    <row r="38" spans="1:17" s="185" customFormat="1" ht="24.75" customHeight="1">
      <c r="A38" s="159" t="s">
        <v>168</v>
      </c>
      <c r="B38" s="158" t="s">
        <v>170</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177</v>
      </c>
      <c r="C39" s="183"/>
      <c r="D39" s="183"/>
      <c r="E39" s="183"/>
      <c r="F39" s="184"/>
      <c r="G39" s="184"/>
      <c r="H39" s="184"/>
      <c r="I39" s="184"/>
      <c r="J39" s="184"/>
      <c r="K39" s="184"/>
      <c r="L39" s="184"/>
      <c r="M39" s="184"/>
      <c r="N39" s="184"/>
      <c r="O39" s="184"/>
      <c r="P39" s="184"/>
      <c r="Q39" s="184"/>
    </row>
    <row r="40" spans="1:17" s="185" customFormat="1" ht="24.75" customHeight="1">
      <c r="A40" s="170" t="s">
        <v>168</v>
      </c>
      <c r="B40" s="149" t="s">
        <v>169</v>
      </c>
      <c r="C40" s="183"/>
      <c r="D40" s="183"/>
      <c r="E40" s="183"/>
      <c r="F40" s="184"/>
      <c r="G40" s="184"/>
      <c r="H40" s="184"/>
      <c r="I40" s="184"/>
      <c r="J40" s="184"/>
      <c r="K40" s="184"/>
      <c r="L40" s="184"/>
      <c r="M40" s="184"/>
      <c r="N40" s="184"/>
      <c r="O40" s="184"/>
      <c r="P40" s="184"/>
      <c r="Q40" s="184"/>
    </row>
    <row r="41" spans="1:17" s="185" customFormat="1" ht="24.75" customHeight="1">
      <c r="A41" s="170" t="s">
        <v>168</v>
      </c>
      <c r="B41" s="149" t="s">
        <v>170</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177</v>
      </c>
      <c r="C42" s="183"/>
      <c r="D42" s="183"/>
      <c r="E42" s="183"/>
      <c r="F42" s="184"/>
      <c r="G42" s="184"/>
      <c r="H42" s="184"/>
      <c r="I42" s="184"/>
      <c r="J42" s="184"/>
      <c r="K42" s="184"/>
      <c r="L42" s="184"/>
      <c r="M42" s="184"/>
      <c r="N42" s="184"/>
      <c r="O42" s="184"/>
      <c r="P42" s="184"/>
      <c r="Q42" s="184"/>
    </row>
    <row r="43" spans="1:17" s="185" customFormat="1" ht="24.75" customHeight="1">
      <c r="A43" s="159"/>
      <c r="B43" s="158" t="s">
        <v>81</v>
      </c>
      <c r="C43" s="183"/>
      <c r="D43" s="183"/>
      <c r="E43" s="183"/>
      <c r="F43" s="184"/>
      <c r="G43" s="184"/>
      <c r="H43" s="184"/>
      <c r="I43" s="184"/>
      <c r="J43" s="184"/>
      <c r="K43" s="184"/>
      <c r="L43" s="184"/>
      <c r="M43" s="184"/>
      <c r="N43" s="184"/>
      <c r="O43" s="184"/>
      <c r="P43" s="184"/>
      <c r="Q43" s="184"/>
    </row>
    <row r="44" spans="1:17" s="185" customFormat="1" ht="24.75" customHeight="1">
      <c r="A44" s="159" t="s">
        <v>40</v>
      </c>
      <c r="B44" s="158" t="s">
        <v>40</v>
      </c>
      <c r="C44" s="183"/>
      <c r="D44" s="183"/>
      <c r="E44" s="183"/>
      <c r="F44" s="184"/>
      <c r="G44" s="184"/>
      <c r="H44" s="184"/>
      <c r="I44" s="184"/>
      <c r="J44" s="184"/>
      <c r="K44" s="184"/>
      <c r="L44" s="184"/>
      <c r="M44" s="184"/>
      <c r="N44" s="184"/>
      <c r="O44" s="184"/>
      <c r="P44" s="184"/>
      <c r="Q44" s="184"/>
    </row>
    <row r="45" spans="1:17" s="185" customFormat="1" ht="24.75" customHeight="1">
      <c r="A45" s="150" t="s">
        <v>48</v>
      </c>
      <c r="B45" s="154" t="s">
        <v>16</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179</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179</v>
      </c>
      <c r="C47" s="183"/>
      <c r="D47" s="183"/>
      <c r="E47" s="183"/>
      <c r="F47" s="184"/>
      <c r="G47" s="184"/>
      <c r="H47" s="184"/>
      <c r="I47" s="184"/>
      <c r="J47" s="184"/>
      <c r="K47" s="184"/>
      <c r="L47" s="184"/>
      <c r="M47" s="184"/>
      <c r="N47" s="184"/>
      <c r="O47" s="184"/>
      <c r="P47" s="184"/>
      <c r="Q47" s="184"/>
    </row>
    <row r="48" spans="1:17" s="185" customFormat="1" ht="24.75" customHeight="1">
      <c r="A48" s="147" t="s">
        <v>40</v>
      </c>
      <c r="B48" s="149" t="s">
        <v>40</v>
      </c>
      <c r="C48" s="183"/>
      <c r="D48" s="183"/>
      <c r="E48" s="183"/>
      <c r="F48" s="184"/>
      <c r="G48" s="184"/>
      <c r="H48" s="184"/>
      <c r="I48" s="184"/>
      <c r="J48" s="184"/>
      <c r="K48" s="184"/>
      <c r="L48" s="184"/>
      <c r="M48" s="184"/>
      <c r="N48" s="184"/>
      <c r="O48" s="184"/>
      <c r="P48" s="184"/>
      <c r="Q48" s="184"/>
    </row>
    <row r="49" spans="1:17" s="185" customFormat="1" ht="24.75" customHeight="1">
      <c r="A49" s="150" t="s">
        <v>180</v>
      </c>
      <c r="B49" s="154" t="s">
        <v>181</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179</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179</v>
      </c>
      <c r="C51" s="183"/>
      <c r="D51" s="183"/>
      <c r="E51" s="183"/>
      <c r="F51" s="184"/>
      <c r="G51" s="184"/>
      <c r="H51" s="184"/>
      <c r="I51" s="184"/>
      <c r="J51" s="184"/>
      <c r="K51" s="184"/>
      <c r="L51" s="184"/>
      <c r="M51" s="184"/>
      <c r="N51" s="184"/>
      <c r="O51" s="184"/>
      <c r="P51" s="184"/>
      <c r="Q51" s="184"/>
    </row>
    <row r="52" spans="1:17" s="185" customFormat="1" ht="24.75" customHeight="1">
      <c r="A52" s="147" t="s">
        <v>40</v>
      </c>
      <c r="B52" s="149" t="s">
        <v>40</v>
      </c>
      <c r="C52" s="183"/>
      <c r="D52" s="183"/>
      <c r="E52" s="183"/>
      <c r="F52" s="184"/>
      <c r="G52" s="184"/>
      <c r="H52" s="184"/>
      <c r="I52" s="184"/>
      <c r="J52" s="184"/>
      <c r="K52" s="184"/>
      <c r="L52" s="184"/>
      <c r="M52" s="184"/>
      <c r="N52" s="184"/>
      <c r="O52" s="184"/>
      <c r="P52" s="184"/>
      <c r="Q52" s="184"/>
    </row>
    <row r="53" spans="1:17" s="185" customFormat="1" ht="24.75" customHeight="1">
      <c r="A53" s="150" t="s">
        <v>136</v>
      </c>
      <c r="B53" s="154" t="s">
        <v>17</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179</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179</v>
      </c>
      <c r="C55" s="183"/>
      <c r="D55" s="183"/>
      <c r="E55" s="183"/>
      <c r="F55" s="184"/>
      <c r="G55" s="184"/>
      <c r="H55" s="184"/>
      <c r="I55" s="184"/>
      <c r="J55" s="184"/>
      <c r="K55" s="184"/>
      <c r="L55" s="184"/>
      <c r="M55" s="184"/>
      <c r="N55" s="184"/>
      <c r="O55" s="184"/>
      <c r="P55" s="184"/>
      <c r="Q55" s="184"/>
    </row>
    <row r="56" spans="1:17" s="185" customFormat="1" ht="24.75" customHeight="1">
      <c r="A56" s="147" t="s">
        <v>40</v>
      </c>
      <c r="B56" s="149" t="s">
        <v>40</v>
      </c>
      <c r="C56" s="183"/>
      <c r="D56" s="183"/>
      <c r="E56" s="183"/>
      <c r="F56" s="184"/>
      <c r="G56" s="184"/>
      <c r="H56" s="184"/>
      <c r="I56" s="184"/>
      <c r="J56" s="184"/>
      <c r="K56" s="184"/>
      <c r="L56" s="184"/>
      <c r="M56" s="184"/>
      <c r="N56" s="184"/>
      <c r="O56" s="184"/>
      <c r="P56" s="184"/>
      <c r="Q56" s="184"/>
    </row>
    <row r="57" spans="1:17" s="185" customFormat="1" ht="33">
      <c r="A57" s="150" t="s">
        <v>138</v>
      </c>
      <c r="B57" s="154" t="s">
        <v>18</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179</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179</v>
      </c>
      <c r="C59" s="183"/>
      <c r="D59" s="183"/>
      <c r="E59" s="183"/>
      <c r="F59" s="184"/>
      <c r="G59" s="184"/>
      <c r="H59" s="184"/>
      <c r="I59" s="184"/>
      <c r="J59" s="184"/>
      <c r="K59" s="184"/>
      <c r="L59" s="184"/>
      <c r="M59" s="184"/>
      <c r="N59" s="184"/>
      <c r="O59" s="184"/>
      <c r="P59" s="184"/>
      <c r="Q59" s="184"/>
    </row>
    <row r="60" spans="1:17" s="185" customFormat="1" ht="24.75" customHeight="1">
      <c r="A60" s="147" t="s">
        <v>40</v>
      </c>
      <c r="B60" s="149" t="s">
        <v>40</v>
      </c>
      <c r="C60" s="183"/>
      <c r="D60" s="183"/>
      <c r="E60" s="183"/>
      <c r="F60" s="184"/>
      <c r="G60" s="184"/>
      <c r="H60" s="184"/>
      <c r="I60" s="184"/>
      <c r="J60" s="184"/>
      <c r="K60" s="184"/>
      <c r="L60" s="184"/>
      <c r="M60" s="184"/>
      <c r="N60" s="184"/>
      <c r="O60" s="184"/>
      <c r="P60" s="184"/>
      <c r="Q60" s="184"/>
    </row>
    <row r="61" spans="1:17" s="185" customFormat="1" ht="33">
      <c r="A61" s="150" t="s">
        <v>183</v>
      </c>
      <c r="B61" s="154" t="s">
        <v>182</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179</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179</v>
      </c>
      <c r="C63" s="183"/>
      <c r="D63" s="183"/>
      <c r="E63" s="183"/>
      <c r="F63" s="184"/>
      <c r="G63" s="184"/>
      <c r="H63" s="184"/>
      <c r="I63" s="184"/>
      <c r="J63" s="184"/>
      <c r="K63" s="184"/>
      <c r="L63" s="184"/>
      <c r="M63" s="184"/>
      <c r="N63" s="184"/>
      <c r="O63" s="184"/>
      <c r="P63" s="184"/>
      <c r="Q63" s="184"/>
    </row>
    <row r="64" spans="1:17" s="185" customFormat="1" ht="24.75" customHeight="1">
      <c r="A64" s="147" t="s">
        <v>40</v>
      </c>
      <c r="B64" s="149" t="s">
        <v>40</v>
      </c>
      <c r="C64" s="183"/>
      <c r="D64" s="183"/>
      <c r="E64" s="183"/>
      <c r="F64" s="184"/>
      <c r="G64" s="184"/>
      <c r="H64" s="184"/>
      <c r="I64" s="184"/>
      <c r="J64" s="184"/>
      <c r="K64" s="184"/>
      <c r="L64" s="184"/>
      <c r="M64" s="184"/>
      <c r="N64" s="184"/>
      <c r="O64" s="184"/>
      <c r="P64" s="184"/>
      <c r="Q64" s="184"/>
    </row>
    <row r="65" spans="1:19" s="185" customFormat="1" ht="33">
      <c r="A65" s="150" t="s">
        <v>185</v>
      </c>
      <c r="B65" s="154" t="s">
        <v>186</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179</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179</v>
      </c>
      <c r="C67" s="183"/>
      <c r="D67" s="183"/>
      <c r="E67" s="183"/>
      <c r="F67" s="184"/>
      <c r="G67" s="184"/>
      <c r="H67" s="184"/>
      <c r="I67" s="184"/>
      <c r="J67" s="184"/>
      <c r="K67" s="184"/>
      <c r="L67" s="184"/>
      <c r="M67" s="184"/>
      <c r="N67" s="184"/>
      <c r="O67" s="184"/>
      <c r="P67" s="184"/>
      <c r="Q67" s="184"/>
    </row>
    <row r="68" spans="1:19" s="185" customFormat="1" ht="24.75" customHeight="1">
      <c r="A68" s="147" t="s">
        <v>40</v>
      </c>
      <c r="B68" s="149" t="s">
        <v>40</v>
      </c>
      <c r="C68" s="183"/>
      <c r="D68" s="183"/>
      <c r="E68" s="183"/>
      <c r="F68" s="184"/>
      <c r="G68" s="184"/>
      <c r="H68" s="184"/>
      <c r="I68" s="184"/>
      <c r="J68" s="184"/>
      <c r="K68" s="184"/>
      <c r="L68" s="184"/>
      <c r="M68" s="184"/>
      <c r="N68" s="184"/>
      <c r="O68" s="184"/>
      <c r="P68" s="184"/>
      <c r="Q68" s="184"/>
    </row>
    <row r="69" spans="1:19" ht="7.9" customHeight="1">
      <c r="A69" s="186"/>
      <c r="B69" s="154"/>
      <c r="C69" s="187"/>
      <c r="D69" s="187"/>
      <c r="E69" s="187"/>
      <c r="F69" s="187"/>
      <c r="G69" s="187"/>
      <c r="H69" s="187"/>
      <c r="I69" s="187"/>
      <c r="J69" s="187"/>
      <c r="K69" s="187"/>
      <c r="L69" s="182"/>
      <c r="M69" s="182"/>
      <c r="N69" s="182"/>
      <c r="O69" s="182"/>
      <c r="P69" s="182"/>
      <c r="Q69" s="182"/>
      <c r="S69" s="174" t="s">
        <v>193</v>
      </c>
    </row>
    <row r="71" spans="1:19" ht="15.75">
      <c r="B71" s="172" t="s">
        <v>19</v>
      </c>
    </row>
    <row r="72" spans="1:19" ht="15.75">
      <c r="B72" s="173" t="s">
        <v>20</v>
      </c>
    </row>
  </sheetData>
  <mergeCells count="26">
    <mergeCell ref="A1:I1"/>
    <mergeCell ref="J1:Q1"/>
    <mergeCell ref="A2:I2"/>
    <mergeCell ref="J2:Q2"/>
    <mergeCell ref="A3:Q3"/>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K10:K11"/>
    <mergeCell ref="L10:N10"/>
    <mergeCell ref="O10:Q10"/>
    <mergeCell ref="D10:D11"/>
    <mergeCell ref="E10:E11"/>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VonNSDP 2018</vt:lpstr>
      <vt:lpstr>TC.ĐM 2016-2020(không in)</vt:lpstr>
      <vt:lpstr>Phân bổ vốn(không in)</vt:lpstr>
      <vt:lpstr>ODAKH NSNN</vt:lpstr>
      <vt:lpstr>NC07 TH TPCP</vt:lpstr>
      <vt:lpstr>NC08 TPCP KH</vt:lpstr>
      <vt:lpstr>NC11 PPP</vt:lpstr>
      <vt:lpstr>BM18 BC nam DP</vt:lpstr>
      <vt:lpstr>Quy2THDP</vt:lpstr>
      <vt:lpstr>Quy2TPCPDP</vt:lpstr>
      <vt:lpstr>Quy2von khac Dp</vt:lpstr>
      <vt:lpstr>Quy2THDP!_ftnref1</vt:lpstr>
      <vt:lpstr>'BM18 BC nam DP'!Print_Area</vt:lpstr>
      <vt:lpstr>'NC07 TH TPCP'!Print_Area</vt:lpstr>
      <vt:lpstr>'NC08 TPCP KH'!Print_Area</vt:lpstr>
      <vt:lpstr>'NC11 PPP'!Print_Area</vt:lpstr>
      <vt:lpstr>'ODAKH NSNN'!Print_Area</vt:lpstr>
      <vt:lpstr>'Phân bổ vốn(không in)'!Print_Area</vt:lpstr>
      <vt:lpstr>Quy2TPCPDP!Print_Area</vt:lpstr>
      <vt:lpstr>Quy2THDP!Print_Area</vt:lpstr>
      <vt:lpstr>'Quy2von khac Dp'!Print_Area</vt:lpstr>
      <vt:lpstr>'VonNSDP 2018'!Print_Area</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lpstr>'TC.ĐM 2016-2020(không in)'!Print_Titles</vt:lpstr>
      <vt:lpstr>'VonNSDP 2018'!Print_Titles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HUNGGIANG</cp:lastModifiedBy>
  <cp:lastPrinted>2017-12-03T08:53:55Z</cp:lastPrinted>
  <dcterms:created xsi:type="dcterms:W3CDTF">2016-08-23T02:19:18Z</dcterms:created>
  <dcterms:modified xsi:type="dcterms:W3CDTF">2017-12-20T11:06:47Z</dcterms:modified>
</cp:coreProperties>
</file>